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910" windowWidth="12000" windowHeight="4905"/>
  </bookViews>
  <sheets>
    <sheet name="tabela_09.C.01" sheetId="1" r:id="rId1"/>
  </sheets>
  <definedNames>
    <definedName name="_xlnm.Print_Area" localSheetId="0">tabela_09.C.01!$A$281:$F$375</definedName>
    <definedName name="_xlnm.Print_Titles" localSheetId="0">tabela_09.C.01!$1:$4</definedName>
  </definedNames>
  <calcPr calcId="145621"/>
</workbook>
</file>

<file path=xl/calcChain.xml><?xml version="1.0" encoding="utf-8"?>
<calcChain xmlns="http://schemas.openxmlformats.org/spreadsheetml/2006/main">
  <c r="E358" i="1" l="1"/>
  <c r="E357" i="1"/>
  <c r="E356" i="1"/>
  <c r="E355" i="1"/>
  <c r="E354" i="1"/>
  <c r="E353" i="1"/>
  <c r="E352" i="1"/>
  <c r="E351" i="1"/>
  <c r="E350" i="1"/>
  <c r="E349" i="1"/>
  <c r="E371" i="1"/>
  <c r="E369" i="1"/>
  <c r="E368" i="1"/>
  <c r="E367" i="1"/>
  <c r="E366" i="1"/>
  <c r="E365" i="1"/>
  <c r="E364" i="1"/>
  <c r="E363" i="1"/>
  <c r="E362" i="1"/>
  <c r="E361" i="1"/>
  <c r="E360" i="1"/>
  <c r="E359" i="1"/>
  <c r="D369" i="1"/>
  <c r="D368" i="1"/>
  <c r="D367" i="1"/>
  <c r="D366" i="1"/>
  <c r="D365" i="1"/>
  <c r="D364" i="1"/>
  <c r="D363" i="1"/>
  <c r="D362" i="1"/>
  <c r="D361" i="1"/>
  <c r="D360" i="1"/>
  <c r="D359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C369" i="1"/>
  <c r="C368" i="1"/>
  <c r="C367" i="1"/>
  <c r="C366" i="1"/>
  <c r="C365" i="1"/>
  <c r="C364" i="1"/>
  <c r="C363" i="1"/>
  <c r="C362" i="1"/>
  <c r="C361" i="1"/>
  <c r="C371" i="1" s="1"/>
  <c r="C360" i="1"/>
  <c r="C359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D344" i="1" l="1"/>
  <c r="D343" i="1"/>
  <c r="D342" i="1"/>
  <c r="D341" i="1"/>
  <c r="D340" i="1"/>
  <c r="D339" i="1"/>
  <c r="D338" i="1"/>
  <c r="D337" i="1"/>
  <c r="D336" i="1"/>
  <c r="D335" i="1"/>
  <c r="D334" i="1"/>
  <c r="D333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D279" i="1"/>
  <c r="D278" i="1"/>
  <c r="D277" i="1"/>
  <c r="D276" i="1"/>
  <c r="D275" i="1"/>
  <c r="D274" i="1"/>
  <c r="D273" i="1"/>
  <c r="D272" i="1"/>
  <c r="D271" i="1"/>
  <c r="D270" i="1"/>
  <c r="C279" i="1"/>
  <c r="C278" i="1"/>
  <c r="C277" i="1"/>
  <c r="C276" i="1"/>
  <c r="C275" i="1"/>
  <c r="C274" i="1"/>
  <c r="C273" i="1"/>
  <c r="C272" i="1"/>
  <c r="C271" i="1"/>
  <c r="C270" i="1"/>
  <c r="D269" i="1"/>
  <c r="C269" i="1"/>
  <c r="D268" i="1"/>
  <c r="C268" i="1"/>
  <c r="D266" i="1"/>
  <c r="D265" i="1"/>
  <c r="D264" i="1"/>
  <c r="D263" i="1"/>
  <c r="D262" i="1"/>
  <c r="D261" i="1"/>
  <c r="D260" i="1"/>
  <c r="D259" i="1"/>
  <c r="D258" i="1"/>
  <c r="D257" i="1"/>
  <c r="D256" i="1"/>
  <c r="C266" i="1"/>
  <c r="C265" i="1"/>
  <c r="C264" i="1"/>
  <c r="C263" i="1"/>
  <c r="C262" i="1"/>
  <c r="C261" i="1"/>
  <c r="C260" i="1"/>
  <c r="C259" i="1"/>
  <c r="C258" i="1"/>
  <c r="C257" i="1"/>
  <c r="C256" i="1"/>
  <c r="D255" i="1"/>
  <c r="C255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D306" i="1" l="1"/>
  <c r="D371" i="1" l="1"/>
  <c r="E370" i="1"/>
  <c r="D358" i="1" l="1"/>
  <c r="D345" i="1"/>
  <c r="E348" i="1" l="1"/>
  <c r="E347" i="1"/>
  <c r="E346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5" i="1"/>
  <c r="E304" i="1"/>
  <c r="E303" i="1"/>
  <c r="E302" i="1"/>
  <c r="E300" i="1"/>
  <c r="E298" i="1"/>
  <c r="E297" i="1"/>
  <c r="E296" i="1"/>
  <c r="E295" i="1"/>
  <c r="E294" i="1"/>
  <c r="C358" i="1"/>
  <c r="E345" i="1" l="1"/>
  <c r="E332" i="1"/>
  <c r="E319" i="1"/>
  <c r="C111" i="1" l="1"/>
  <c r="E268" i="1" l="1"/>
  <c r="C345" i="1"/>
  <c r="E279" i="1" l="1"/>
  <c r="E278" i="1"/>
  <c r="E277" i="1"/>
  <c r="E276" i="1"/>
  <c r="E275" i="1"/>
  <c r="E274" i="1"/>
  <c r="E273" i="1"/>
  <c r="E272" i="1"/>
  <c r="E271" i="1"/>
  <c r="E270" i="1"/>
  <c r="E269" i="1"/>
  <c r="C332" i="1" l="1"/>
  <c r="E301" i="1" l="1"/>
  <c r="E299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93" i="1" l="1"/>
  <c r="E306" i="1"/>
  <c r="D332" i="1"/>
  <c r="E280" i="1" l="1"/>
  <c r="E256" i="1" l="1"/>
  <c r="E257" i="1"/>
  <c r="E258" i="1"/>
  <c r="E259" i="1"/>
  <c r="E260" i="1"/>
  <c r="E261" i="1"/>
  <c r="E262" i="1"/>
  <c r="E263" i="1"/>
  <c r="E264" i="1"/>
  <c r="E265" i="1"/>
  <c r="E266" i="1"/>
  <c r="E255" i="1"/>
  <c r="E253" i="1"/>
  <c r="E252" i="1"/>
  <c r="E251" i="1"/>
  <c r="E250" i="1"/>
  <c r="E249" i="1"/>
  <c r="E248" i="1"/>
  <c r="E247" i="1"/>
  <c r="E245" i="1"/>
  <c r="E244" i="1"/>
  <c r="E243" i="1"/>
  <c r="E242" i="1"/>
  <c r="E246" i="1"/>
  <c r="E230" i="1"/>
  <c r="E231" i="1"/>
  <c r="E232" i="1"/>
  <c r="E233" i="1"/>
  <c r="E234" i="1"/>
  <c r="E235" i="1"/>
  <c r="E236" i="1"/>
  <c r="E237" i="1"/>
  <c r="E238" i="1"/>
  <c r="E239" i="1"/>
  <c r="E240" i="1"/>
  <c r="E229" i="1"/>
  <c r="E217" i="1"/>
  <c r="E218" i="1"/>
  <c r="E219" i="1"/>
  <c r="E220" i="1"/>
  <c r="E221" i="1"/>
  <c r="E222" i="1"/>
  <c r="E223" i="1"/>
  <c r="E224" i="1"/>
  <c r="E225" i="1"/>
  <c r="E226" i="1"/>
  <c r="E227" i="1"/>
  <c r="E216" i="1"/>
  <c r="E204" i="1"/>
  <c r="E205" i="1"/>
  <c r="E206" i="1"/>
  <c r="E207" i="1"/>
  <c r="E208" i="1"/>
  <c r="E209" i="1"/>
  <c r="E210" i="1"/>
  <c r="E211" i="1"/>
  <c r="E212" i="1"/>
  <c r="E213" i="1"/>
  <c r="E214" i="1"/>
  <c r="E203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8" i="1"/>
  <c r="E178" i="1"/>
  <c r="E179" i="1"/>
  <c r="E180" i="1"/>
  <c r="E181" i="1"/>
  <c r="E182" i="1"/>
  <c r="E183" i="1"/>
  <c r="E184" i="1"/>
  <c r="E185" i="1"/>
  <c r="E186" i="1"/>
  <c r="E187" i="1"/>
  <c r="E177" i="1"/>
  <c r="E165" i="1"/>
  <c r="E166" i="1"/>
  <c r="E167" i="1"/>
  <c r="E168" i="1"/>
  <c r="E169" i="1"/>
  <c r="E170" i="1"/>
  <c r="E171" i="1"/>
  <c r="E172" i="1"/>
  <c r="E173" i="1"/>
  <c r="E174" i="1"/>
  <c r="E175" i="1"/>
  <c r="E164" i="1"/>
  <c r="E162" i="1"/>
  <c r="E152" i="1"/>
  <c r="E153" i="1"/>
  <c r="E154" i="1"/>
  <c r="E155" i="1"/>
  <c r="E156" i="1"/>
  <c r="E157" i="1"/>
  <c r="E158" i="1"/>
  <c r="E159" i="1"/>
  <c r="E160" i="1"/>
  <c r="E161" i="1"/>
  <c r="E151" i="1"/>
  <c r="E139" i="1"/>
  <c r="E140" i="1"/>
  <c r="E141" i="1"/>
  <c r="E142" i="1"/>
  <c r="E143" i="1"/>
  <c r="E144" i="1"/>
  <c r="E145" i="1"/>
  <c r="E146" i="1"/>
  <c r="E147" i="1"/>
  <c r="E148" i="1"/>
  <c r="E149" i="1"/>
  <c r="E138" i="1"/>
  <c r="E126" i="1"/>
  <c r="E127" i="1"/>
  <c r="E128" i="1"/>
  <c r="E129" i="1"/>
  <c r="E130" i="1"/>
  <c r="E131" i="1"/>
  <c r="E132" i="1"/>
  <c r="E133" i="1"/>
  <c r="E134" i="1"/>
  <c r="E135" i="1"/>
  <c r="E136" i="1"/>
  <c r="E125" i="1"/>
  <c r="E113" i="1"/>
  <c r="E114" i="1"/>
  <c r="E115" i="1"/>
  <c r="E116" i="1"/>
  <c r="E117" i="1"/>
  <c r="E118" i="1"/>
  <c r="E119" i="1"/>
  <c r="E120" i="1"/>
  <c r="E121" i="1"/>
  <c r="E122" i="1"/>
  <c r="E123" i="1"/>
  <c r="E112" i="1"/>
  <c r="E100" i="1"/>
  <c r="E101" i="1"/>
  <c r="E102" i="1"/>
  <c r="E103" i="1"/>
  <c r="E104" i="1"/>
  <c r="E105" i="1"/>
  <c r="E106" i="1"/>
  <c r="E107" i="1"/>
  <c r="E108" i="1"/>
  <c r="E109" i="1"/>
  <c r="E110" i="1"/>
  <c r="E99" i="1"/>
  <c r="D228" i="1"/>
  <c r="C228" i="1"/>
  <c r="D215" i="1"/>
  <c r="C215" i="1"/>
  <c r="D202" i="1"/>
  <c r="C202" i="1"/>
  <c r="D189" i="1"/>
  <c r="C189" i="1"/>
  <c r="D176" i="1"/>
  <c r="C176" i="1"/>
  <c r="D163" i="1"/>
  <c r="C163" i="1"/>
  <c r="D150" i="1"/>
  <c r="C150" i="1"/>
  <c r="D137" i="1"/>
  <c r="C137" i="1"/>
  <c r="D124" i="1"/>
  <c r="C124" i="1"/>
  <c r="D111" i="1"/>
  <c r="E228" i="1" l="1"/>
  <c r="E254" i="1"/>
  <c r="E202" i="1"/>
  <c r="E137" i="1"/>
  <c r="E124" i="1"/>
  <c r="E241" i="1"/>
  <c r="E150" i="1"/>
  <c r="E111" i="1"/>
  <c r="E189" i="1"/>
  <c r="E215" i="1"/>
  <c r="E176" i="1"/>
  <c r="E163" i="1"/>
  <c r="C280" i="1"/>
  <c r="C267" i="1" l="1"/>
  <c r="D267" i="1"/>
  <c r="E267" i="1"/>
  <c r="D280" i="1"/>
  <c r="C293" i="1"/>
  <c r="D293" i="1"/>
  <c r="C306" i="1"/>
  <c r="C319" i="1"/>
  <c r="D319" i="1"/>
  <c r="C254" i="1" l="1"/>
  <c r="D254" i="1"/>
  <c r="F267" i="1" l="1"/>
  <c r="D241" i="1" l="1"/>
  <c r="C241" i="1"/>
</calcChain>
</file>

<file path=xl/sharedStrings.xml><?xml version="1.0" encoding="utf-8"?>
<sst xmlns="http://schemas.openxmlformats.org/spreadsheetml/2006/main" count="384" uniqueCount="36">
  <si>
    <t xml:space="preserve">BALANÇA COMERCIAL </t>
  </si>
  <si>
    <t xml:space="preserve">EXPORTAÇÃO </t>
  </si>
  <si>
    <t>IMPORTAÇÃO</t>
  </si>
  <si>
    <t>SALDO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</si>
  <si>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</si>
  <si>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</si>
  <si>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</si>
  <si>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</si>
  <si>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</si>
  <si>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</si>
  <si>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</si>
  <si>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</si>
  <si>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</si>
  <si>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</si>
  <si>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</si>
  <si>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</si>
  <si>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 xml:space="preserve">JUL </t>
  </si>
  <si>
    <t xml:space="preserve">NOV </t>
  </si>
  <si>
    <t xml:space="preserve">SET </t>
  </si>
  <si>
    <t xml:space="preserve">OUT </t>
  </si>
  <si>
    <t>...</t>
  </si>
  <si>
    <t>ANO/MÊS</t>
  </si>
  <si>
    <t>EM US$ MILHÕES</t>
  </si>
  <si>
    <t>BALANÇA COMERCIAL E RESERVAS INTERNACIONAIS</t>
  </si>
  <si>
    <t>RESERVAS INTERNACIONAIS</t>
  </si>
  <si>
    <t>Elaboração: Banco de Dados-CBIC.</t>
  </si>
  <si>
    <r>
      <t>(</t>
    </r>
    <r>
      <rPr>
        <sz val="9"/>
        <color indexed="48"/>
        <rFont val="Arial"/>
        <family val="2"/>
      </rPr>
      <t>*</t>
    </r>
    <r>
      <rPr>
        <sz val="7"/>
        <color indexed="48"/>
        <rFont val="Arial"/>
        <family val="2"/>
      </rPr>
      <t>) Dados preliminares.</t>
    </r>
  </si>
  <si>
    <t>JAN</t>
  </si>
  <si>
    <t>CONCEITO LIQUIDEZ - TOTAL</t>
  </si>
  <si>
    <t>2016*</t>
  </si>
  <si>
    <t>2017*</t>
  </si>
  <si>
    <t>(...) Dado indisponível.</t>
  </si>
  <si>
    <t>2018*</t>
  </si>
  <si>
    <t>2019*</t>
  </si>
  <si>
    <t>2020*</t>
  </si>
  <si>
    <t>Fonte: Ministério da Economia -Indústria, Comércio Exterior e Serviços e Banco Central do Brasil.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</si>
</sst>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1" x14ac:knownFonts="1">
    <font>
      <sz val="10"/>
      <name val="MS Sans Serif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9"/>
      <color indexed="48"/>
      <name val="Arial"/>
      <family val="2"/>
    </font>
    <font>
      <b/>
      <sz val="12"/>
      <color indexed="4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60">
    <xf numFmtId="0" fontId="0" fillId="0" borderId="0" xfId="0"/>
    <xf numFmtId="0" fontId="2" fillId="0" borderId="0" xfId="0" applyFont="1" applyBorder="1" applyAlignment="1">
      <alignment vertical="center"/>
    </xf>
    <xf numFmtId="38" fontId="6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8" fontId="2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8" fontId="2" fillId="0" borderId="1" xfId="0" applyNumberFormat="1" applyFont="1" applyBorder="1" applyAlignment="1">
      <alignment vertical="center"/>
    </xf>
    <xf numFmtId="38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38" fontId="6" fillId="3" borderId="3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8" fontId="7" fillId="2" borderId="3" xfId="0" applyNumberFormat="1" applyFont="1" applyFill="1" applyBorder="1" applyAlignment="1">
      <alignment horizontal="center" vertical="center" wrapText="1"/>
    </xf>
    <xf numFmtId="38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8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6" fillId="0" borderId="0" xfId="0" quotePrefix="1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38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8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8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38" fontId="2" fillId="0" borderId="11" xfId="0" applyNumberFormat="1" applyFont="1" applyBorder="1" applyAlignment="1" applyProtection="1">
      <alignment horizontal="center" vertical="center" wrapText="1"/>
    </xf>
    <xf numFmtId="38" fontId="2" fillId="0" borderId="0" xfId="0" applyNumberFormat="1" applyFont="1" applyBorder="1" applyAlignment="1" applyProtection="1">
      <alignment horizontal="center" vertical="center" wrapText="1"/>
    </xf>
    <xf numFmtId="38" fontId="2" fillId="0" borderId="5" xfId="0" applyNumberFormat="1" applyFont="1" applyBorder="1" applyAlignment="1">
      <alignment horizontal="center" vertical="center" wrapText="1"/>
    </xf>
    <xf numFmtId="38" fontId="2" fillId="0" borderId="0" xfId="0" applyNumberFormat="1" applyFont="1" applyBorder="1" applyAlignment="1">
      <alignment vertical="center" wrapText="1"/>
    </xf>
    <xf numFmtId="38" fontId="2" fillId="0" borderId="0" xfId="0" applyNumberFormat="1" applyFont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/>
    </xf>
    <xf numFmtId="17" fontId="2" fillId="0" borderId="14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38" fontId="2" fillId="4" borderId="9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8" fontId="2" fillId="4" borderId="8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center" vertical="center" wrapText="1"/>
    </xf>
    <xf numFmtId="38" fontId="2" fillId="4" borderId="15" xfId="0" applyNumberFormat="1" applyFont="1" applyFill="1" applyBorder="1" applyAlignment="1">
      <alignment horizontal="center" vertical="center" wrapText="1"/>
    </xf>
    <xf numFmtId="38" fontId="2" fillId="4" borderId="4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393"/>
  <sheetViews>
    <sheetView showGridLines="0" tabSelected="1" zoomScaleNormal="100" zoomScaleSheetLayoutView="40" workbookViewId="0">
      <pane ySplit="4" topLeftCell="A343" activePane="bottomLeft" state="frozen"/>
      <selection pane="bottomLeft" activeCell="C377" sqref="C377"/>
    </sheetView>
  </sheetViews>
  <sheetFormatPr defaultRowHeight="11.25" x14ac:dyDescent="0.2"/>
  <cols>
    <col min="1" max="1" width="5" style="17" customWidth="1"/>
    <col min="2" max="2" width="4.7109375" style="31" customWidth="1"/>
    <col min="3" max="4" width="15.7109375" style="38" customWidth="1"/>
    <col min="5" max="5" width="11.7109375" style="39" bestFit="1" customWidth="1"/>
    <col min="6" max="6" width="23.28515625" style="17" bestFit="1" customWidth="1"/>
    <col min="7" max="16384" width="9.140625" style="17"/>
  </cols>
  <sheetData>
    <row r="1" spans="1:6" s="16" customFormat="1" ht="18" customHeight="1" x14ac:dyDescent="0.2">
      <c r="A1" s="51" t="s">
        <v>23</v>
      </c>
      <c r="B1" s="51"/>
      <c r="C1" s="51"/>
      <c r="D1" s="51"/>
      <c r="E1" s="51"/>
      <c r="F1" s="51"/>
    </row>
    <row r="2" spans="1:6" s="16" customFormat="1" ht="12.75" customHeight="1" x14ac:dyDescent="0.2">
      <c r="A2" s="52" t="s">
        <v>22</v>
      </c>
      <c r="B2" s="52"/>
      <c r="C2" s="52"/>
      <c r="D2" s="52"/>
      <c r="E2" s="52"/>
      <c r="F2" s="52"/>
    </row>
    <row r="3" spans="1:6" ht="15" customHeight="1" x14ac:dyDescent="0.2">
      <c r="A3" s="55" t="s">
        <v>21</v>
      </c>
      <c r="B3" s="56"/>
      <c r="C3" s="57" t="s">
        <v>0</v>
      </c>
      <c r="D3" s="57"/>
      <c r="E3" s="57"/>
      <c r="F3" s="13" t="s">
        <v>24</v>
      </c>
    </row>
    <row r="4" spans="1:6" ht="20.100000000000001" customHeight="1" x14ac:dyDescent="0.2">
      <c r="A4" s="55"/>
      <c r="B4" s="56"/>
      <c r="C4" s="18" t="s">
        <v>1</v>
      </c>
      <c r="D4" s="18" t="s">
        <v>2</v>
      </c>
      <c r="E4" s="18" t="s">
        <v>3</v>
      </c>
      <c r="F4" s="13" t="s">
        <v>28</v>
      </c>
    </row>
    <row r="5" spans="1:6" ht="12.75" customHeight="1" x14ac:dyDescent="0.2">
      <c r="A5" s="53">
        <v>1990</v>
      </c>
      <c r="B5" s="54"/>
      <c r="C5" s="19">
        <v>31414</v>
      </c>
      <c r="D5" s="19">
        <v>20661</v>
      </c>
      <c r="E5" s="19">
        <v>10753</v>
      </c>
      <c r="F5" s="20" t="s">
        <v>20</v>
      </c>
    </row>
    <row r="6" spans="1:6" ht="12.75" customHeight="1" x14ac:dyDescent="0.2">
      <c r="A6" s="53">
        <v>1991</v>
      </c>
      <c r="B6" s="54"/>
      <c r="C6" s="19">
        <v>31620</v>
      </c>
      <c r="D6" s="19">
        <v>21041</v>
      </c>
      <c r="E6" s="19">
        <v>10579</v>
      </c>
      <c r="F6" s="20">
        <v>9406</v>
      </c>
    </row>
    <row r="7" spans="1:6" ht="12.75" customHeight="1" x14ac:dyDescent="0.2">
      <c r="A7" s="58">
        <v>1992</v>
      </c>
      <c r="B7" s="59"/>
      <c r="C7" s="21">
        <v>35862</v>
      </c>
      <c r="D7" s="21">
        <v>20554</v>
      </c>
      <c r="E7" s="21">
        <v>15308</v>
      </c>
      <c r="F7" s="22">
        <v>23754</v>
      </c>
    </row>
    <row r="8" spans="1:6" ht="12.75" customHeight="1" x14ac:dyDescent="0.2">
      <c r="A8" s="23">
        <v>1993</v>
      </c>
      <c r="B8" s="24" t="s">
        <v>27</v>
      </c>
      <c r="C8" s="25">
        <v>2813</v>
      </c>
      <c r="D8" s="25">
        <v>1798</v>
      </c>
      <c r="E8" s="25">
        <v>1015</v>
      </c>
      <c r="F8" s="26">
        <v>23313</v>
      </c>
    </row>
    <row r="9" spans="1:6" x14ac:dyDescent="0.2">
      <c r="B9" s="27" t="s">
        <v>4</v>
      </c>
      <c r="C9" s="25">
        <v>2889</v>
      </c>
      <c r="D9" s="25">
        <v>1432</v>
      </c>
      <c r="E9" s="25">
        <v>1457</v>
      </c>
      <c r="F9" s="26">
        <v>22890</v>
      </c>
    </row>
    <row r="10" spans="1:6" x14ac:dyDescent="0.2">
      <c r="B10" s="27" t="s">
        <v>5</v>
      </c>
      <c r="C10" s="25">
        <v>3509</v>
      </c>
      <c r="D10" s="25">
        <v>2001</v>
      </c>
      <c r="E10" s="25">
        <v>1508</v>
      </c>
      <c r="F10" s="26">
        <v>22309</v>
      </c>
    </row>
    <row r="11" spans="1:6" x14ac:dyDescent="0.2">
      <c r="B11" s="27" t="s">
        <v>6</v>
      </c>
      <c r="C11" s="25">
        <v>3028</v>
      </c>
      <c r="D11" s="25">
        <v>2125</v>
      </c>
      <c r="E11" s="25">
        <v>903</v>
      </c>
      <c r="F11" s="26">
        <v>22737</v>
      </c>
    </row>
    <row r="12" spans="1:6" x14ac:dyDescent="0.2">
      <c r="B12" s="27" t="s">
        <v>7</v>
      </c>
      <c r="C12" s="25">
        <v>2885</v>
      </c>
      <c r="D12" s="25">
        <v>1590</v>
      </c>
      <c r="E12" s="25">
        <v>1295</v>
      </c>
      <c r="F12" s="26">
        <v>23981</v>
      </c>
    </row>
    <row r="13" spans="1:6" x14ac:dyDescent="0.2">
      <c r="B13" s="27" t="s">
        <v>8</v>
      </c>
      <c r="C13" s="25">
        <v>3238</v>
      </c>
      <c r="D13" s="25">
        <v>2292</v>
      </c>
      <c r="E13" s="25">
        <v>946</v>
      </c>
      <c r="F13" s="26">
        <v>24476</v>
      </c>
    </row>
    <row r="14" spans="1:6" x14ac:dyDescent="0.2">
      <c r="B14" s="27" t="s">
        <v>9</v>
      </c>
      <c r="C14" s="25">
        <v>3423</v>
      </c>
      <c r="D14" s="25">
        <v>2770</v>
      </c>
      <c r="E14" s="25">
        <v>653</v>
      </c>
      <c r="F14" s="26">
        <v>25937</v>
      </c>
    </row>
    <row r="15" spans="1:6" x14ac:dyDescent="0.2">
      <c r="B15" s="27" t="s">
        <v>10</v>
      </c>
      <c r="C15" s="25">
        <v>3503</v>
      </c>
      <c r="D15" s="25">
        <v>2341</v>
      </c>
      <c r="E15" s="25">
        <v>1162</v>
      </c>
      <c r="F15" s="26">
        <v>27086</v>
      </c>
    </row>
    <row r="16" spans="1:6" x14ac:dyDescent="0.2">
      <c r="B16" s="27" t="s">
        <v>11</v>
      </c>
      <c r="C16" s="25">
        <v>3445</v>
      </c>
      <c r="D16" s="25">
        <v>2217</v>
      </c>
      <c r="E16" s="25">
        <v>1228</v>
      </c>
      <c r="F16" s="26">
        <v>26948</v>
      </c>
    </row>
    <row r="17" spans="1:6" x14ac:dyDescent="0.2">
      <c r="B17" s="27" t="s">
        <v>12</v>
      </c>
      <c r="C17" s="25">
        <v>3241</v>
      </c>
      <c r="D17" s="25">
        <v>2094</v>
      </c>
      <c r="E17" s="25">
        <v>1147</v>
      </c>
      <c r="F17" s="26">
        <v>29019</v>
      </c>
    </row>
    <row r="18" spans="1:6" x14ac:dyDescent="0.2">
      <c r="B18" s="27" t="s">
        <v>13</v>
      </c>
      <c r="C18" s="25">
        <v>3171</v>
      </c>
      <c r="D18" s="25">
        <v>2040</v>
      </c>
      <c r="E18" s="25">
        <v>1131</v>
      </c>
      <c r="F18" s="26">
        <v>31011</v>
      </c>
    </row>
    <row r="19" spans="1:6" x14ac:dyDescent="0.2">
      <c r="B19" s="27" t="s">
        <v>14</v>
      </c>
      <c r="C19" s="25">
        <v>3410</v>
      </c>
      <c r="D19" s="25">
        <v>2556</v>
      </c>
      <c r="E19" s="25">
        <v>854</v>
      </c>
      <c r="F19" s="26">
        <v>32211</v>
      </c>
    </row>
    <row r="20" spans="1:6" s="16" customFormat="1" ht="12.75" customHeight="1" x14ac:dyDescent="0.2">
      <c r="A20" s="49" t="s">
        <v>15</v>
      </c>
      <c r="B20" s="50"/>
      <c r="C20" s="14">
        <v>38555</v>
      </c>
      <c r="D20" s="14">
        <v>25256</v>
      </c>
      <c r="E20" s="14">
        <v>13299</v>
      </c>
      <c r="F20" s="15">
        <v>32211</v>
      </c>
    </row>
    <row r="21" spans="1:6" x14ac:dyDescent="0.2">
      <c r="A21" s="23">
        <v>1994</v>
      </c>
      <c r="B21" s="24" t="s">
        <v>27</v>
      </c>
      <c r="C21" s="25">
        <v>2747</v>
      </c>
      <c r="D21" s="25">
        <v>1767</v>
      </c>
      <c r="E21" s="25">
        <v>980</v>
      </c>
      <c r="F21" s="26">
        <v>35390</v>
      </c>
    </row>
    <row r="22" spans="1:6" x14ac:dyDescent="0.2">
      <c r="B22" s="27" t="s">
        <v>4</v>
      </c>
      <c r="C22" s="25">
        <v>2778</v>
      </c>
      <c r="D22" s="25">
        <v>2032</v>
      </c>
      <c r="E22" s="25">
        <v>746</v>
      </c>
      <c r="F22" s="26">
        <v>36542</v>
      </c>
    </row>
    <row r="23" spans="1:6" x14ac:dyDescent="0.2">
      <c r="B23" s="27" t="s">
        <v>5</v>
      </c>
      <c r="C23" s="25">
        <v>3351</v>
      </c>
      <c r="D23" s="25">
        <v>2250</v>
      </c>
      <c r="E23" s="25">
        <v>1101</v>
      </c>
      <c r="F23" s="26">
        <v>38282</v>
      </c>
    </row>
    <row r="24" spans="1:6" x14ac:dyDescent="0.2">
      <c r="B24" s="27" t="s">
        <v>6</v>
      </c>
      <c r="C24" s="25">
        <v>3635</v>
      </c>
      <c r="D24" s="25">
        <v>2158</v>
      </c>
      <c r="E24" s="25">
        <v>1477</v>
      </c>
      <c r="F24" s="26">
        <v>38289</v>
      </c>
    </row>
    <row r="25" spans="1:6" x14ac:dyDescent="0.2">
      <c r="B25" s="27" t="s">
        <v>7</v>
      </c>
      <c r="C25" s="25">
        <v>3862</v>
      </c>
      <c r="D25" s="25">
        <v>2432</v>
      </c>
      <c r="E25" s="25">
        <v>1430</v>
      </c>
      <c r="F25" s="26">
        <v>41408</v>
      </c>
    </row>
    <row r="26" spans="1:6" x14ac:dyDescent="0.2">
      <c r="B26" s="27" t="s">
        <v>8</v>
      </c>
      <c r="C26" s="25">
        <v>3728</v>
      </c>
      <c r="D26" s="25">
        <v>2498</v>
      </c>
      <c r="E26" s="25">
        <v>1230</v>
      </c>
      <c r="F26" s="26">
        <v>42881</v>
      </c>
    </row>
    <row r="27" spans="1:6" x14ac:dyDescent="0.2">
      <c r="B27" s="27" t="s">
        <v>9</v>
      </c>
      <c r="C27" s="25">
        <v>3738</v>
      </c>
      <c r="D27" s="25">
        <v>2535</v>
      </c>
      <c r="E27" s="25">
        <v>1203</v>
      </c>
      <c r="F27" s="26">
        <v>43090</v>
      </c>
    </row>
    <row r="28" spans="1:6" x14ac:dyDescent="0.2">
      <c r="B28" s="27" t="s">
        <v>10</v>
      </c>
      <c r="C28" s="25">
        <v>4282</v>
      </c>
      <c r="D28" s="25">
        <v>2760</v>
      </c>
      <c r="E28" s="25">
        <v>1522</v>
      </c>
      <c r="F28" s="26">
        <v>42981</v>
      </c>
    </row>
    <row r="29" spans="1:6" x14ac:dyDescent="0.2">
      <c r="B29" s="27" t="s">
        <v>11</v>
      </c>
      <c r="C29" s="25">
        <v>4162</v>
      </c>
      <c r="D29" s="25">
        <v>2729</v>
      </c>
      <c r="E29" s="25">
        <v>1433</v>
      </c>
      <c r="F29" s="26">
        <v>43455</v>
      </c>
    </row>
    <row r="30" spans="1:6" x14ac:dyDescent="0.2">
      <c r="B30" s="27" t="s">
        <v>12</v>
      </c>
      <c r="C30" s="25">
        <v>3842</v>
      </c>
      <c r="D30" s="25">
        <v>3198</v>
      </c>
      <c r="E30" s="25">
        <v>644</v>
      </c>
      <c r="F30" s="26">
        <v>42845</v>
      </c>
    </row>
    <row r="31" spans="1:6" x14ac:dyDescent="0.2">
      <c r="B31" s="27" t="s">
        <v>13</v>
      </c>
      <c r="C31" s="25">
        <v>3706</v>
      </c>
      <c r="D31" s="25">
        <v>4198</v>
      </c>
      <c r="E31" s="25">
        <v>-492</v>
      </c>
      <c r="F31" s="26">
        <v>41937</v>
      </c>
    </row>
    <row r="32" spans="1:6" x14ac:dyDescent="0.2">
      <c r="B32" s="27" t="s">
        <v>14</v>
      </c>
      <c r="C32" s="25">
        <v>3727</v>
      </c>
      <c r="D32" s="25">
        <v>4611</v>
      </c>
      <c r="E32" s="25">
        <v>-884</v>
      </c>
      <c r="F32" s="26">
        <v>38806</v>
      </c>
    </row>
    <row r="33" spans="1:6" s="16" customFormat="1" x14ac:dyDescent="0.2">
      <c r="A33" s="49" t="s">
        <v>15</v>
      </c>
      <c r="B33" s="50"/>
      <c r="C33" s="14">
        <v>43558</v>
      </c>
      <c r="D33" s="14">
        <v>33168</v>
      </c>
      <c r="E33" s="14">
        <v>10390</v>
      </c>
      <c r="F33" s="15">
        <v>38806</v>
      </c>
    </row>
    <row r="34" spans="1:6" x14ac:dyDescent="0.2">
      <c r="A34" s="23">
        <v>1995</v>
      </c>
      <c r="B34" s="24" t="s">
        <v>27</v>
      </c>
      <c r="C34" s="25">
        <v>2980</v>
      </c>
      <c r="D34" s="25">
        <v>3284</v>
      </c>
      <c r="E34" s="25">
        <v>-304</v>
      </c>
      <c r="F34" s="26">
        <v>38278</v>
      </c>
    </row>
    <row r="35" spans="1:6" x14ac:dyDescent="0.2">
      <c r="B35" s="27" t="s">
        <v>4</v>
      </c>
      <c r="C35" s="25">
        <v>2952</v>
      </c>
      <c r="D35" s="25">
        <v>4013</v>
      </c>
      <c r="E35" s="25">
        <v>-1061</v>
      </c>
      <c r="F35" s="26">
        <v>37998</v>
      </c>
    </row>
    <row r="36" spans="1:6" x14ac:dyDescent="0.2">
      <c r="B36" s="27" t="s">
        <v>5</v>
      </c>
      <c r="C36" s="25">
        <v>3799</v>
      </c>
      <c r="D36" s="25">
        <v>4721</v>
      </c>
      <c r="E36" s="25">
        <v>-922</v>
      </c>
      <c r="F36" s="26">
        <v>33742</v>
      </c>
    </row>
    <row r="37" spans="1:6" x14ac:dyDescent="0.2">
      <c r="B37" s="27" t="s">
        <v>6</v>
      </c>
      <c r="C37" s="25">
        <v>3394</v>
      </c>
      <c r="D37" s="25">
        <v>3864</v>
      </c>
      <c r="E37" s="25">
        <v>-470</v>
      </c>
      <c r="F37" s="26">
        <v>31887</v>
      </c>
    </row>
    <row r="38" spans="1:6" x14ac:dyDescent="0.2">
      <c r="B38" s="27" t="s">
        <v>7</v>
      </c>
      <c r="C38" s="25">
        <v>4205</v>
      </c>
      <c r="D38" s="25">
        <v>4897</v>
      </c>
      <c r="E38" s="25">
        <v>-692</v>
      </c>
      <c r="F38" s="26">
        <v>33731</v>
      </c>
    </row>
    <row r="39" spans="1:6" x14ac:dyDescent="0.2">
      <c r="B39" s="27" t="s">
        <v>8</v>
      </c>
      <c r="C39" s="25">
        <v>4119</v>
      </c>
      <c r="D39" s="25">
        <v>4897</v>
      </c>
      <c r="E39" s="25">
        <v>-778</v>
      </c>
      <c r="F39" s="26">
        <v>33512</v>
      </c>
    </row>
    <row r="40" spans="1:6" x14ac:dyDescent="0.2">
      <c r="B40" s="27" t="s">
        <v>9</v>
      </c>
      <c r="C40" s="25">
        <v>4004</v>
      </c>
      <c r="D40" s="25">
        <v>4003</v>
      </c>
      <c r="E40" s="25">
        <v>1</v>
      </c>
      <c r="F40" s="26">
        <v>41823</v>
      </c>
    </row>
    <row r="41" spans="1:6" x14ac:dyDescent="0.2">
      <c r="B41" s="27" t="s">
        <v>10</v>
      </c>
      <c r="C41" s="25">
        <v>4558</v>
      </c>
      <c r="D41" s="25">
        <v>4461</v>
      </c>
      <c r="E41" s="25">
        <v>97</v>
      </c>
      <c r="F41" s="26">
        <v>47660</v>
      </c>
    </row>
    <row r="42" spans="1:6" x14ac:dyDescent="0.2">
      <c r="B42" s="27" t="s">
        <v>11</v>
      </c>
      <c r="C42" s="25">
        <v>4167</v>
      </c>
      <c r="D42" s="25">
        <v>3687</v>
      </c>
      <c r="E42" s="25">
        <v>480</v>
      </c>
      <c r="F42" s="26">
        <v>48713</v>
      </c>
    </row>
    <row r="43" spans="1:6" x14ac:dyDescent="0.2">
      <c r="B43" s="27" t="s">
        <v>12</v>
      </c>
      <c r="C43" s="25">
        <v>4405</v>
      </c>
      <c r="D43" s="25">
        <v>4076</v>
      </c>
      <c r="E43" s="25">
        <v>329</v>
      </c>
      <c r="F43" s="26">
        <v>49694</v>
      </c>
    </row>
    <row r="44" spans="1:6" x14ac:dyDescent="0.2">
      <c r="B44" s="27" t="s">
        <v>13</v>
      </c>
      <c r="C44" s="25">
        <v>4048</v>
      </c>
      <c r="D44" s="25">
        <v>4137</v>
      </c>
      <c r="E44" s="25">
        <v>-89</v>
      </c>
      <c r="F44" s="28">
        <v>51257</v>
      </c>
    </row>
    <row r="45" spans="1:6" x14ac:dyDescent="0.2">
      <c r="B45" s="27" t="s">
        <v>14</v>
      </c>
      <c r="C45" s="25">
        <v>3875</v>
      </c>
      <c r="D45" s="25">
        <v>3932</v>
      </c>
      <c r="E45" s="25">
        <v>-57</v>
      </c>
      <c r="F45" s="28">
        <v>51840</v>
      </c>
    </row>
    <row r="46" spans="1:6" s="16" customFormat="1" x14ac:dyDescent="0.2">
      <c r="A46" s="49" t="s">
        <v>15</v>
      </c>
      <c r="B46" s="50"/>
      <c r="C46" s="14">
        <v>46506</v>
      </c>
      <c r="D46" s="14">
        <v>49972</v>
      </c>
      <c r="E46" s="14">
        <v>-3466</v>
      </c>
      <c r="F46" s="15">
        <v>51840</v>
      </c>
    </row>
    <row r="47" spans="1:6" s="16" customFormat="1" x14ac:dyDescent="0.2">
      <c r="A47" s="23">
        <v>1996</v>
      </c>
      <c r="B47" s="24" t="s">
        <v>27</v>
      </c>
      <c r="C47" s="29">
        <v>3473</v>
      </c>
      <c r="D47" s="29">
        <v>3440</v>
      </c>
      <c r="E47" s="29">
        <v>33</v>
      </c>
      <c r="F47" s="26">
        <v>53540</v>
      </c>
    </row>
    <row r="48" spans="1:6" s="16" customFormat="1" x14ac:dyDescent="0.2">
      <c r="B48" s="30" t="s">
        <v>4</v>
      </c>
      <c r="C48" s="29">
        <v>3405</v>
      </c>
      <c r="D48" s="29">
        <v>3434</v>
      </c>
      <c r="E48" s="29">
        <v>-29</v>
      </c>
      <c r="F48" s="26">
        <v>55794</v>
      </c>
    </row>
    <row r="49" spans="1:6" s="16" customFormat="1" x14ac:dyDescent="0.2">
      <c r="B49" s="30" t="s">
        <v>5</v>
      </c>
      <c r="C49" s="29">
        <v>3408</v>
      </c>
      <c r="D49" s="29">
        <v>3877</v>
      </c>
      <c r="E49" s="29">
        <v>-469</v>
      </c>
      <c r="F49" s="26">
        <v>55753</v>
      </c>
    </row>
    <row r="50" spans="1:6" s="16" customFormat="1" x14ac:dyDescent="0.2">
      <c r="B50" s="31" t="s">
        <v>6</v>
      </c>
      <c r="C50" s="29">
        <v>4271</v>
      </c>
      <c r="D50" s="29">
        <v>4074</v>
      </c>
      <c r="E50" s="29">
        <v>197</v>
      </c>
      <c r="F50" s="28">
        <v>56769</v>
      </c>
    </row>
    <row r="51" spans="1:6" s="16" customFormat="1" x14ac:dyDescent="0.2">
      <c r="B51" s="31" t="s">
        <v>7</v>
      </c>
      <c r="C51" s="29">
        <v>4506</v>
      </c>
      <c r="D51" s="29">
        <v>4237</v>
      </c>
      <c r="E51" s="29">
        <v>269</v>
      </c>
      <c r="F51" s="28">
        <v>59394</v>
      </c>
    </row>
    <row r="52" spans="1:6" s="16" customFormat="1" x14ac:dyDescent="0.2">
      <c r="B52" s="30" t="s">
        <v>8</v>
      </c>
      <c r="C52" s="29">
        <v>3840</v>
      </c>
      <c r="D52" s="29">
        <v>4167</v>
      </c>
      <c r="E52" s="29">
        <v>-327</v>
      </c>
      <c r="F52" s="26">
        <v>59997</v>
      </c>
    </row>
    <row r="53" spans="1:6" s="16" customFormat="1" x14ac:dyDescent="0.2">
      <c r="B53" s="30" t="s">
        <v>9</v>
      </c>
      <c r="C53" s="29">
        <v>4459</v>
      </c>
      <c r="D53" s="29">
        <v>4793</v>
      </c>
      <c r="E53" s="29">
        <v>-334</v>
      </c>
      <c r="F53" s="26">
        <v>59521</v>
      </c>
    </row>
    <row r="54" spans="1:6" s="16" customFormat="1" x14ac:dyDescent="0.2">
      <c r="B54" s="30" t="s">
        <v>10</v>
      </c>
      <c r="C54" s="29">
        <v>4381</v>
      </c>
      <c r="D54" s="29">
        <v>4672</v>
      </c>
      <c r="E54" s="29">
        <v>-291</v>
      </c>
      <c r="F54" s="26">
        <v>59643</v>
      </c>
    </row>
    <row r="55" spans="1:6" s="16" customFormat="1" x14ac:dyDescent="0.2">
      <c r="B55" s="30" t="s">
        <v>11</v>
      </c>
      <c r="C55" s="29">
        <v>4115</v>
      </c>
      <c r="D55" s="29">
        <v>4770</v>
      </c>
      <c r="E55" s="29">
        <v>-655</v>
      </c>
      <c r="F55" s="26">
        <v>58775</v>
      </c>
    </row>
    <row r="56" spans="1:6" s="16" customFormat="1" x14ac:dyDescent="0.2">
      <c r="B56" s="30" t="s">
        <v>12</v>
      </c>
      <c r="C56" s="29">
        <v>4188</v>
      </c>
      <c r="D56" s="29">
        <v>5496</v>
      </c>
      <c r="E56" s="29">
        <v>-1308</v>
      </c>
      <c r="F56" s="26">
        <v>58600</v>
      </c>
    </row>
    <row r="57" spans="1:6" s="16" customFormat="1" x14ac:dyDescent="0.2">
      <c r="B57" s="30" t="s">
        <v>13</v>
      </c>
      <c r="C57" s="29">
        <v>3912</v>
      </c>
      <c r="D57" s="29">
        <v>4765</v>
      </c>
      <c r="E57" s="29">
        <v>-853</v>
      </c>
      <c r="F57" s="26">
        <v>60471</v>
      </c>
    </row>
    <row r="58" spans="1:6" s="16" customFormat="1" x14ac:dyDescent="0.2">
      <c r="B58" s="30" t="s">
        <v>14</v>
      </c>
      <c r="C58" s="29">
        <v>3789</v>
      </c>
      <c r="D58" s="29">
        <v>5576</v>
      </c>
      <c r="E58" s="29">
        <v>-1787</v>
      </c>
      <c r="F58" s="26">
        <v>60110</v>
      </c>
    </row>
    <row r="59" spans="1:6" s="16" customFormat="1" x14ac:dyDescent="0.2">
      <c r="A59" s="49" t="s">
        <v>15</v>
      </c>
      <c r="B59" s="50"/>
      <c r="C59" s="14">
        <v>47747</v>
      </c>
      <c r="D59" s="14">
        <v>53301</v>
      </c>
      <c r="E59" s="14">
        <v>-5554</v>
      </c>
      <c r="F59" s="15">
        <v>60110</v>
      </c>
    </row>
    <row r="60" spans="1:6" s="16" customFormat="1" x14ac:dyDescent="0.2">
      <c r="A60" s="23">
        <v>1997</v>
      </c>
      <c r="B60" s="24" t="s">
        <v>27</v>
      </c>
      <c r="C60" s="32">
        <v>3685</v>
      </c>
      <c r="D60" s="32">
        <v>2512</v>
      </c>
      <c r="E60" s="32">
        <v>1173</v>
      </c>
      <c r="F60" s="33">
        <v>58951</v>
      </c>
    </row>
    <row r="61" spans="1:6" s="16" customFormat="1" x14ac:dyDescent="0.2">
      <c r="B61" s="30" t="s">
        <v>4</v>
      </c>
      <c r="C61" s="29">
        <v>3146</v>
      </c>
      <c r="D61" s="29">
        <v>4249</v>
      </c>
      <c r="E61" s="29">
        <v>-1103</v>
      </c>
      <c r="F61" s="26">
        <v>59405</v>
      </c>
    </row>
    <row r="62" spans="1:6" s="16" customFormat="1" x14ac:dyDescent="0.2">
      <c r="B62" s="30" t="s">
        <v>5</v>
      </c>
      <c r="C62" s="29">
        <v>3826</v>
      </c>
      <c r="D62" s="29">
        <v>4728</v>
      </c>
      <c r="E62" s="29">
        <v>-902</v>
      </c>
      <c r="F62" s="26">
        <v>58980</v>
      </c>
    </row>
    <row r="63" spans="1:6" s="16" customFormat="1" x14ac:dyDescent="0.2">
      <c r="B63" s="30" t="s">
        <v>6</v>
      </c>
      <c r="C63" s="29">
        <v>4629.3159999999998</v>
      </c>
      <c r="D63" s="29">
        <v>5528</v>
      </c>
      <c r="E63" s="29">
        <v>-898.6840000000002</v>
      </c>
      <c r="F63" s="26">
        <v>56171</v>
      </c>
    </row>
    <row r="64" spans="1:6" s="16" customFormat="1" x14ac:dyDescent="0.2">
      <c r="B64" s="30" t="s">
        <v>7</v>
      </c>
      <c r="C64" s="29">
        <v>4659</v>
      </c>
      <c r="D64" s="29">
        <v>4721</v>
      </c>
      <c r="E64" s="29">
        <v>-62</v>
      </c>
      <c r="F64" s="26">
        <v>59279</v>
      </c>
    </row>
    <row r="65" spans="1:6" s="16" customFormat="1" x14ac:dyDescent="0.2">
      <c r="B65" s="30" t="s">
        <v>8</v>
      </c>
      <c r="C65" s="29">
        <v>4844</v>
      </c>
      <c r="D65" s="29">
        <v>5208</v>
      </c>
      <c r="E65" s="29">
        <v>-364</v>
      </c>
      <c r="F65" s="26">
        <v>57615</v>
      </c>
    </row>
    <row r="66" spans="1:6" s="16" customFormat="1" x14ac:dyDescent="0.2">
      <c r="B66" s="30" t="s">
        <v>16</v>
      </c>
      <c r="C66" s="29">
        <v>5239</v>
      </c>
      <c r="D66" s="29">
        <v>5789</v>
      </c>
      <c r="E66" s="29">
        <v>-550</v>
      </c>
      <c r="F66" s="26">
        <v>60331</v>
      </c>
    </row>
    <row r="67" spans="1:6" s="16" customFormat="1" x14ac:dyDescent="0.2">
      <c r="B67" s="30" t="s">
        <v>10</v>
      </c>
      <c r="C67" s="29">
        <v>5075</v>
      </c>
      <c r="D67" s="29">
        <v>5370</v>
      </c>
      <c r="E67" s="29">
        <v>-295</v>
      </c>
      <c r="F67" s="26">
        <v>63056</v>
      </c>
    </row>
    <row r="68" spans="1:6" s="16" customFormat="1" x14ac:dyDescent="0.2">
      <c r="B68" s="30" t="s">
        <v>11</v>
      </c>
      <c r="C68" s="29">
        <v>4588</v>
      </c>
      <c r="D68" s="29">
        <v>5436</v>
      </c>
      <c r="E68" s="29">
        <v>-848</v>
      </c>
      <c r="F68" s="26">
        <v>61931</v>
      </c>
    </row>
    <row r="69" spans="1:6" s="16" customFormat="1" x14ac:dyDescent="0.2">
      <c r="B69" s="30" t="s">
        <v>12</v>
      </c>
      <c r="C69" s="29">
        <v>4793</v>
      </c>
      <c r="D69" s="29">
        <v>5646</v>
      </c>
      <c r="E69" s="29">
        <v>-853</v>
      </c>
      <c r="F69" s="26">
        <v>53690</v>
      </c>
    </row>
    <row r="70" spans="1:6" s="16" customFormat="1" x14ac:dyDescent="0.2">
      <c r="B70" s="30" t="s">
        <v>17</v>
      </c>
      <c r="C70" s="29">
        <v>3976</v>
      </c>
      <c r="D70" s="29">
        <v>5263</v>
      </c>
      <c r="E70" s="29">
        <v>-1287</v>
      </c>
      <c r="F70" s="26">
        <v>52035</v>
      </c>
    </row>
    <row r="71" spans="1:6" s="16" customFormat="1" x14ac:dyDescent="0.2">
      <c r="B71" s="30" t="s">
        <v>14</v>
      </c>
      <c r="C71" s="29">
        <v>4534</v>
      </c>
      <c r="D71" s="29">
        <v>5299</v>
      </c>
      <c r="E71" s="29">
        <v>-765</v>
      </c>
      <c r="F71" s="26">
        <v>52173</v>
      </c>
    </row>
    <row r="72" spans="1:6" s="16" customFormat="1" x14ac:dyDescent="0.2">
      <c r="A72" s="49" t="s">
        <v>15</v>
      </c>
      <c r="B72" s="50"/>
      <c r="C72" s="14">
        <v>52994.315999999999</v>
      </c>
      <c r="D72" s="14">
        <v>59749</v>
      </c>
      <c r="E72" s="14">
        <v>-6754.6840000000011</v>
      </c>
      <c r="F72" s="15">
        <v>52173</v>
      </c>
    </row>
    <row r="73" spans="1:6" s="16" customFormat="1" x14ac:dyDescent="0.2">
      <c r="A73" s="23">
        <v>1998</v>
      </c>
      <c r="B73" s="24" t="s">
        <v>27</v>
      </c>
      <c r="C73" s="29">
        <v>3917</v>
      </c>
      <c r="D73" s="29">
        <v>4648</v>
      </c>
      <c r="E73" s="29">
        <v>-731</v>
      </c>
      <c r="F73" s="28">
        <v>53103</v>
      </c>
    </row>
    <row r="74" spans="1:6" s="16" customFormat="1" x14ac:dyDescent="0.2">
      <c r="B74" s="31" t="s">
        <v>4</v>
      </c>
      <c r="C74" s="29">
        <v>3716</v>
      </c>
      <c r="D74" s="29">
        <v>3943</v>
      </c>
      <c r="E74" s="29">
        <v>-227</v>
      </c>
      <c r="F74" s="28">
        <v>58782</v>
      </c>
    </row>
    <row r="75" spans="1:6" s="16" customFormat="1" x14ac:dyDescent="0.2">
      <c r="B75" s="31" t="s">
        <v>5</v>
      </c>
      <c r="C75" s="29">
        <v>4274</v>
      </c>
      <c r="D75" s="29">
        <v>5166</v>
      </c>
      <c r="E75" s="29">
        <v>-892</v>
      </c>
      <c r="F75" s="28">
        <v>68594</v>
      </c>
    </row>
    <row r="76" spans="1:6" s="16" customFormat="1" x14ac:dyDescent="0.2">
      <c r="B76" s="31" t="s">
        <v>6</v>
      </c>
      <c r="C76" s="29">
        <v>4576</v>
      </c>
      <c r="D76" s="29">
        <v>4629</v>
      </c>
      <c r="E76" s="29">
        <v>-53</v>
      </c>
      <c r="F76" s="28">
        <v>74656</v>
      </c>
    </row>
    <row r="77" spans="1:6" s="16" customFormat="1" x14ac:dyDescent="0.2">
      <c r="B77" s="31" t="s">
        <v>7</v>
      </c>
      <c r="C77" s="29">
        <v>4612</v>
      </c>
      <c r="D77" s="29">
        <v>4735</v>
      </c>
      <c r="E77" s="29">
        <v>-123</v>
      </c>
      <c r="F77" s="28">
        <v>72826</v>
      </c>
    </row>
    <row r="78" spans="1:6" s="16" customFormat="1" x14ac:dyDescent="0.2">
      <c r="B78" s="31" t="s">
        <v>8</v>
      </c>
      <c r="C78" s="29">
        <v>4886</v>
      </c>
      <c r="D78" s="29">
        <v>4701</v>
      </c>
      <c r="E78" s="29">
        <v>185</v>
      </c>
      <c r="F78" s="28">
        <v>70898</v>
      </c>
    </row>
    <row r="79" spans="1:6" s="16" customFormat="1" x14ac:dyDescent="0.2">
      <c r="B79" s="31" t="s">
        <v>16</v>
      </c>
      <c r="C79" s="29">
        <v>4970</v>
      </c>
      <c r="D79" s="29">
        <v>5394</v>
      </c>
      <c r="E79" s="29">
        <v>-424</v>
      </c>
      <c r="F79" s="28">
        <v>70210</v>
      </c>
    </row>
    <row r="80" spans="1:6" s="16" customFormat="1" x14ac:dyDescent="0.2">
      <c r="B80" s="31" t="s">
        <v>10</v>
      </c>
      <c r="C80" s="29">
        <v>3986</v>
      </c>
      <c r="D80" s="29">
        <v>4154</v>
      </c>
      <c r="E80" s="29">
        <v>-168</v>
      </c>
      <c r="F80" s="28">
        <v>67333</v>
      </c>
    </row>
    <row r="81" spans="1:6" s="16" customFormat="1" x14ac:dyDescent="0.2">
      <c r="B81" s="31" t="s">
        <v>11</v>
      </c>
      <c r="C81" s="29">
        <v>4538</v>
      </c>
      <c r="D81" s="29">
        <v>5726</v>
      </c>
      <c r="E81" s="29">
        <v>-1188</v>
      </c>
      <c r="F81" s="28">
        <v>45811</v>
      </c>
    </row>
    <row r="82" spans="1:6" s="16" customFormat="1" x14ac:dyDescent="0.2">
      <c r="B82" s="31" t="s">
        <v>12</v>
      </c>
      <c r="C82" s="29">
        <v>4017</v>
      </c>
      <c r="D82" s="29">
        <v>5461</v>
      </c>
      <c r="E82" s="29">
        <v>-1444</v>
      </c>
      <c r="F82" s="28">
        <v>42385</v>
      </c>
    </row>
    <row r="83" spans="1:6" s="16" customFormat="1" x14ac:dyDescent="0.2">
      <c r="B83" s="31" t="s">
        <v>13</v>
      </c>
      <c r="C83" s="29">
        <v>3704</v>
      </c>
      <c r="D83" s="29">
        <v>4730</v>
      </c>
      <c r="E83" s="29">
        <v>-1026</v>
      </c>
      <c r="F83" s="28">
        <v>41189</v>
      </c>
    </row>
    <row r="84" spans="1:6" s="16" customFormat="1" x14ac:dyDescent="0.2">
      <c r="B84" s="31" t="s">
        <v>14</v>
      </c>
      <c r="C84" s="29">
        <v>3944</v>
      </c>
      <c r="D84" s="29">
        <v>4459</v>
      </c>
      <c r="E84" s="29">
        <v>-515</v>
      </c>
      <c r="F84" s="28">
        <v>44556</v>
      </c>
    </row>
    <row r="85" spans="1:6" s="16" customFormat="1" x14ac:dyDescent="0.2">
      <c r="A85" s="49" t="s">
        <v>15</v>
      </c>
      <c r="B85" s="50"/>
      <c r="C85" s="14">
        <v>51140</v>
      </c>
      <c r="D85" s="14">
        <v>57746</v>
      </c>
      <c r="E85" s="14">
        <v>-6606</v>
      </c>
      <c r="F85" s="15">
        <v>44556</v>
      </c>
    </row>
    <row r="86" spans="1:6" s="16" customFormat="1" x14ac:dyDescent="0.2">
      <c r="A86" s="23">
        <v>1999</v>
      </c>
      <c r="B86" s="24" t="s">
        <v>27</v>
      </c>
      <c r="C86" s="29">
        <v>2949</v>
      </c>
      <c r="D86" s="29">
        <v>3662</v>
      </c>
      <c r="E86" s="29">
        <v>-713</v>
      </c>
      <c r="F86" s="28">
        <v>36136</v>
      </c>
    </row>
    <row r="87" spans="1:6" s="16" customFormat="1" x14ac:dyDescent="0.2">
      <c r="B87" s="31" t="s">
        <v>4</v>
      </c>
      <c r="C87" s="29">
        <v>3267</v>
      </c>
      <c r="D87" s="29">
        <v>3166</v>
      </c>
      <c r="E87" s="29">
        <v>101</v>
      </c>
      <c r="F87" s="28">
        <v>35457</v>
      </c>
    </row>
    <row r="88" spans="1:6" s="16" customFormat="1" x14ac:dyDescent="0.2">
      <c r="B88" s="31" t="s">
        <v>5</v>
      </c>
      <c r="C88" s="29">
        <v>3829</v>
      </c>
      <c r="D88" s="29">
        <v>4057</v>
      </c>
      <c r="E88" s="29">
        <v>-228</v>
      </c>
      <c r="F88" s="28">
        <v>33848</v>
      </c>
    </row>
    <row r="89" spans="1:6" s="16" customFormat="1" x14ac:dyDescent="0.2">
      <c r="B89" s="31" t="s">
        <v>6</v>
      </c>
      <c r="C89" s="29">
        <v>3707</v>
      </c>
      <c r="D89" s="29">
        <v>3676</v>
      </c>
      <c r="E89" s="29">
        <v>31</v>
      </c>
      <c r="F89" s="28">
        <v>44315</v>
      </c>
    </row>
    <row r="90" spans="1:6" s="16" customFormat="1" x14ac:dyDescent="0.2">
      <c r="B90" s="31" t="s">
        <v>7</v>
      </c>
      <c r="C90" s="29">
        <v>4387</v>
      </c>
      <c r="D90" s="29">
        <v>4087</v>
      </c>
      <c r="E90" s="29">
        <v>300</v>
      </c>
      <c r="F90" s="28">
        <v>44310</v>
      </c>
    </row>
    <row r="91" spans="1:6" s="16" customFormat="1" x14ac:dyDescent="0.2">
      <c r="B91" s="31" t="s">
        <v>8</v>
      </c>
      <c r="C91" s="29">
        <v>4313</v>
      </c>
      <c r="D91" s="29">
        <v>4461</v>
      </c>
      <c r="E91" s="29">
        <v>-148</v>
      </c>
      <c r="F91" s="28">
        <v>41346</v>
      </c>
    </row>
    <row r="92" spans="1:6" s="16" customFormat="1" x14ac:dyDescent="0.2">
      <c r="B92" s="31" t="s">
        <v>9</v>
      </c>
      <c r="C92" s="29">
        <v>4117</v>
      </c>
      <c r="D92" s="29">
        <v>4032</v>
      </c>
      <c r="E92" s="29">
        <v>85</v>
      </c>
      <c r="F92" s="28">
        <v>42156</v>
      </c>
    </row>
    <row r="93" spans="1:6" s="16" customFormat="1" x14ac:dyDescent="0.2">
      <c r="B93" s="31" t="s">
        <v>10</v>
      </c>
      <c r="C93" s="29">
        <v>4277</v>
      </c>
      <c r="D93" s="29">
        <v>4466</v>
      </c>
      <c r="E93" s="29">
        <v>-189</v>
      </c>
      <c r="F93" s="28">
        <v>41918</v>
      </c>
    </row>
    <row r="94" spans="1:6" s="16" customFormat="1" x14ac:dyDescent="0.2">
      <c r="B94" s="31" t="s">
        <v>18</v>
      </c>
      <c r="C94" s="29">
        <v>4187</v>
      </c>
      <c r="D94" s="29">
        <v>4243</v>
      </c>
      <c r="E94" s="29">
        <v>-56</v>
      </c>
      <c r="F94" s="28">
        <v>42562</v>
      </c>
    </row>
    <row r="95" spans="1:6" s="16" customFormat="1" x14ac:dyDescent="0.2">
      <c r="B95" s="31" t="s">
        <v>19</v>
      </c>
      <c r="C95" s="29">
        <v>4304</v>
      </c>
      <c r="D95" s="29">
        <v>4460</v>
      </c>
      <c r="E95" s="29">
        <v>-156</v>
      </c>
      <c r="F95" s="28">
        <v>40053</v>
      </c>
    </row>
    <row r="96" spans="1:6" s="16" customFormat="1" x14ac:dyDescent="0.2">
      <c r="B96" s="31" t="s">
        <v>13</v>
      </c>
      <c r="C96" s="29">
        <v>4002</v>
      </c>
      <c r="D96" s="29">
        <v>4536</v>
      </c>
      <c r="E96" s="29">
        <v>-534</v>
      </c>
      <c r="F96" s="28">
        <v>42175</v>
      </c>
    </row>
    <row r="97" spans="1:6" s="16" customFormat="1" x14ac:dyDescent="0.2">
      <c r="B97" s="31" t="s">
        <v>14</v>
      </c>
      <c r="C97" s="29">
        <v>4674</v>
      </c>
      <c r="D97" s="29">
        <v>4449</v>
      </c>
      <c r="E97" s="29">
        <v>225</v>
      </c>
      <c r="F97" s="28">
        <v>36342</v>
      </c>
    </row>
    <row r="98" spans="1:6" s="16" customFormat="1" x14ac:dyDescent="0.2">
      <c r="A98" s="49" t="s">
        <v>15</v>
      </c>
      <c r="B98" s="50"/>
      <c r="C98" s="14">
        <v>48013</v>
      </c>
      <c r="D98" s="14">
        <v>49295</v>
      </c>
      <c r="E98" s="14">
        <v>-1282</v>
      </c>
      <c r="F98" s="15">
        <v>36342</v>
      </c>
    </row>
    <row r="99" spans="1:6" s="16" customFormat="1" x14ac:dyDescent="0.2">
      <c r="A99" s="23">
        <v>2000</v>
      </c>
      <c r="B99" s="24" t="s">
        <v>27</v>
      </c>
      <c r="C99" s="29">
        <v>3453</v>
      </c>
      <c r="D99" s="29">
        <v>3547</v>
      </c>
      <c r="E99" s="29">
        <f>C99-D99</f>
        <v>-94</v>
      </c>
      <c r="F99" s="28">
        <v>37560</v>
      </c>
    </row>
    <row r="100" spans="1:6" s="16" customFormat="1" x14ac:dyDescent="0.2">
      <c r="B100" s="31" t="s">
        <v>4</v>
      </c>
      <c r="C100" s="29">
        <v>4123</v>
      </c>
      <c r="D100" s="29">
        <v>4045</v>
      </c>
      <c r="E100" s="29">
        <f t="shared" ref="E100:E110" si="0">C100-D100</f>
        <v>78</v>
      </c>
      <c r="F100" s="28">
        <v>38364</v>
      </c>
    </row>
    <row r="101" spans="1:6" s="16" customFormat="1" x14ac:dyDescent="0.2">
      <c r="B101" s="31" t="s">
        <v>5</v>
      </c>
      <c r="C101" s="29">
        <v>4472</v>
      </c>
      <c r="D101" s="29">
        <v>4430</v>
      </c>
      <c r="E101" s="29">
        <f t="shared" si="0"/>
        <v>42</v>
      </c>
      <c r="F101" s="28">
        <v>39200</v>
      </c>
    </row>
    <row r="102" spans="1:6" s="16" customFormat="1" x14ac:dyDescent="0.2">
      <c r="B102" s="31" t="s">
        <v>6</v>
      </c>
      <c r="C102" s="29">
        <v>4181</v>
      </c>
      <c r="D102" s="29">
        <v>3998</v>
      </c>
      <c r="E102" s="29">
        <f t="shared" si="0"/>
        <v>183</v>
      </c>
      <c r="F102" s="28">
        <v>28721</v>
      </c>
    </row>
    <row r="103" spans="1:6" s="16" customFormat="1" x14ac:dyDescent="0.2">
      <c r="B103" s="31" t="s">
        <v>7</v>
      </c>
      <c r="C103" s="29">
        <v>5063</v>
      </c>
      <c r="D103" s="29">
        <v>4671</v>
      </c>
      <c r="E103" s="29">
        <f t="shared" si="0"/>
        <v>392</v>
      </c>
      <c r="F103" s="28">
        <v>28570</v>
      </c>
    </row>
    <row r="104" spans="1:6" s="16" customFormat="1" x14ac:dyDescent="0.2">
      <c r="B104" s="31" t="s">
        <v>8</v>
      </c>
      <c r="C104" s="29">
        <v>4861</v>
      </c>
      <c r="D104" s="29">
        <v>4603</v>
      </c>
      <c r="E104" s="29">
        <f t="shared" si="0"/>
        <v>258</v>
      </c>
      <c r="F104" s="28">
        <v>28265</v>
      </c>
    </row>
    <row r="105" spans="1:6" s="16" customFormat="1" x14ac:dyDescent="0.2">
      <c r="B105" s="31" t="s">
        <v>9</v>
      </c>
      <c r="C105" s="29">
        <v>5003</v>
      </c>
      <c r="D105" s="29">
        <v>4885</v>
      </c>
      <c r="E105" s="29">
        <f t="shared" si="0"/>
        <v>118</v>
      </c>
      <c r="F105" s="28">
        <v>29214</v>
      </c>
    </row>
    <row r="106" spans="1:6" s="16" customFormat="1" x14ac:dyDescent="0.2">
      <c r="B106" s="31" t="s">
        <v>10</v>
      </c>
      <c r="C106" s="29">
        <v>5519</v>
      </c>
      <c r="D106" s="29">
        <v>5422</v>
      </c>
      <c r="E106" s="29">
        <f t="shared" si="0"/>
        <v>97</v>
      </c>
      <c r="F106" s="28">
        <v>31385</v>
      </c>
    </row>
    <row r="107" spans="1:6" s="16" customFormat="1" x14ac:dyDescent="0.2">
      <c r="B107" s="31" t="s">
        <v>11</v>
      </c>
      <c r="C107" s="29">
        <v>4724</v>
      </c>
      <c r="D107" s="29">
        <v>5044</v>
      </c>
      <c r="E107" s="29">
        <f t="shared" si="0"/>
        <v>-320</v>
      </c>
      <c r="F107" s="28">
        <v>31431</v>
      </c>
    </row>
    <row r="108" spans="1:6" s="16" customFormat="1" x14ac:dyDescent="0.2">
      <c r="B108" s="31" t="s">
        <v>12</v>
      </c>
      <c r="C108" s="29">
        <v>4638</v>
      </c>
      <c r="D108" s="29">
        <v>5189</v>
      </c>
      <c r="E108" s="29">
        <f t="shared" si="0"/>
        <v>-551</v>
      </c>
      <c r="F108" s="28">
        <v>30393</v>
      </c>
    </row>
    <row r="109" spans="1:6" s="16" customFormat="1" x14ac:dyDescent="0.2">
      <c r="B109" s="31" t="s">
        <v>13</v>
      </c>
      <c r="C109" s="29">
        <v>4390</v>
      </c>
      <c r="D109" s="29">
        <v>5048</v>
      </c>
      <c r="E109" s="29">
        <f t="shared" si="0"/>
        <v>-658</v>
      </c>
      <c r="F109" s="28">
        <v>32533</v>
      </c>
    </row>
    <row r="110" spans="1:6" s="16" customFormat="1" x14ac:dyDescent="0.2">
      <c r="B110" s="30" t="s">
        <v>14</v>
      </c>
      <c r="C110" s="29">
        <v>4659</v>
      </c>
      <c r="D110" s="29">
        <v>4872</v>
      </c>
      <c r="E110" s="29">
        <f t="shared" si="0"/>
        <v>-213</v>
      </c>
      <c r="F110" s="28">
        <v>33011</v>
      </c>
    </row>
    <row r="111" spans="1:6" s="16" customFormat="1" x14ac:dyDescent="0.2">
      <c r="A111" s="49" t="s">
        <v>15</v>
      </c>
      <c r="B111" s="50"/>
      <c r="C111" s="14">
        <f>SUM(C99:C110)</f>
        <v>55086</v>
      </c>
      <c r="D111" s="14">
        <f>SUM(D99:D110)</f>
        <v>55754</v>
      </c>
      <c r="E111" s="14">
        <f>SUM(E99:E110)</f>
        <v>-668</v>
      </c>
      <c r="F111" s="15">
        <v>33011</v>
      </c>
    </row>
    <row r="112" spans="1:6" s="16" customFormat="1" x14ac:dyDescent="0.2">
      <c r="A112" s="23">
        <v>2001</v>
      </c>
      <c r="B112" s="24" t="s">
        <v>27</v>
      </c>
      <c r="C112" s="25">
        <v>4538</v>
      </c>
      <c r="D112" s="29">
        <v>5014</v>
      </c>
      <c r="E112" s="29">
        <f>C112-D112</f>
        <v>-476</v>
      </c>
      <c r="F112" s="28">
        <v>35598</v>
      </c>
    </row>
    <row r="113" spans="1:6" s="16" customFormat="1" x14ac:dyDescent="0.2">
      <c r="B113" s="30" t="s">
        <v>4</v>
      </c>
      <c r="C113" s="25">
        <v>4083</v>
      </c>
      <c r="D113" s="29">
        <v>3583</v>
      </c>
      <c r="E113" s="29">
        <f t="shared" ref="E113:E123" si="1">C113-D113</f>
        <v>500</v>
      </c>
      <c r="F113" s="28">
        <v>35413</v>
      </c>
    </row>
    <row r="114" spans="1:6" s="16" customFormat="1" x14ac:dyDescent="0.2">
      <c r="B114" s="30" t="s">
        <v>5</v>
      </c>
      <c r="C114" s="25">
        <v>5167</v>
      </c>
      <c r="D114" s="29">
        <v>5446</v>
      </c>
      <c r="E114" s="29">
        <f t="shared" si="1"/>
        <v>-279</v>
      </c>
      <c r="F114" s="28">
        <v>34407</v>
      </c>
    </row>
    <row r="115" spans="1:6" s="16" customFormat="1" x14ac:dyDescent="0.2">
      <c r="B115" s="30" t="s">
        <v>6</v>
      </c>
      <c r="C115" s="25">
        <v>4730</v>
      </c>
      <c r="D115" s="29">
        <v>4610</v>
      </c>
      <c r="E115" s="29">
        <f t="shared" si="1"/>
        <v>120</v>
      </c>
      <c r="F115" s="28">
        <v>34653</v>
      </c>
    </row>
    <row r="116" spans="1:6" s="16" customFormat="1" x14ac:dyDescent="0.2">
      <c r="B116" s="30" t="s">
        <v>7</v>
      </c>
      <c r="C116" s="25">
        <v>5367</v>
      </c>
      <c r="D116" s="29">
        <v>5356</v>
      </c>
      <c r="E116" s="29">
        <f t="shared" si="1"/>
        <v>11</v>
      </c>
      <c r="F116" s="28">
        <v>35459</v>
      </c>
    </row>
    <row r="117" spans="1:6" s="16" customFormat="1" x14ac:dyDescent="0.2">
      <c r="B117" s="30" t="s">
        <v>8</v>
      </c>
      <c r="C117" s="25">
        <v>5042</v>
      </c>
      <c r="D117" s="29">
        <v>4765</v>
      </c>
      <c r="E117" s="29">
        <f t="shared" si="1"/>
        <v>277</v>
      </c>
      <c r="F117" s="28">
        <v>37318</v>
      </c>
    </row>
    <row r="118" spans="1:6" s="16" customFormat="1" x14ac:dyDescent="0.2">
      <c r="B118" s="30" t="s">
        <v>9</v>
      </c>
      <c r="C118" s="25">
        <v>4965</v>
      </c>
      <c r="D118" s="29">
        <v>4857</v>
      </c>
      <c r="E118" s="29">
        <f t="shared" si="1"/>
        <v>108</v>
      </c>
      <c r="F118" s="28">
        <v>35552</v>
      </c>
    </row>
    <row r="119" spans="1:6" s="16" customFormat="1" x14ac:dyDescent="0.2">
      <c r="B119" s="30" t="s">
        <v>10</v>
      </c>
      <c r="C119" s="25">
        <v>5727</v>
      </c>
      <c r="D119" s="29">
        <v>5102</v>
      </c>
      <c r="E119" s="29">
        <f t="shared" si="1"/>
        <v>625</v>
      </c>
      <c r="F119" s="26">
        <v>36299</v>
      </c>
    </row>
    <row r="120" spans="1:6" s="16" customFormat="1" x14ac:dyDescent="0.2">
      <c r="B120" s="30" t="s">
        <v>11</v>
      </c>
      <c r="C120" s="25">
        <v>4755</v>
      </c>
      <c r="D120" s="25">
        <v>4161</v>
      </c>
      <c r="E120" s="29">
        <f t="shared" si="1"/>
        <v>594</v>
      </c>
      <c r="F120" s="28">
        <v>40054</v>
      </c>
    </row>
    <row r="121" spans="1:6" s="16" customFormat="1" x14ac:dyDescent="0.2">
      <c r="B121" s="30" t="s">
        <v>12</v>
      </c>
      <c r="C121" s="25">
        <v>5003</v>
      </c>
      <c r="D121" s="25">
        <v>4757</v>
      </c>
      <c r="E121" s="29">
        <f t="shared" si="1"/>
        <v>246</v>
      </c>
      <c r="F121" s="28">
        <v>37492</v>
      </c>
    </row>
    <row r="122" spans="1:6" s="16" customFormat="1" x14ac:dyDescent="0.2">
      <c r="B122" s="30" t="s">
        <v>13</v>
      </c>
      <c r="C122" s="25">
        <v>4500</v>
      </c>
      <c r="D122" s="25">
        <v>4214</v>
      </c>
      <c r="E122" s="29">
        <f t="shared" si="1"/>
        <v>286</v>
      </c>
      <c r="F122" s="28">
        <v>37234</v>
      </c>
    </row>
    <row r="123" spans="1:6" s="16" customFormat="1" x14ac:dyDescent="0.2">
      <c r="B123" s="30" t="s">
        <v>14</v>
      </c>
      <c r="C123" s="25">
        <v>4346</v>
      </c>
      <c r="D123" s="25">
        <v>3489</v>
      </c>
      <c r="E123" s="29">
        <f t="shared" si="1"/>
        <v>857</v>
      </c>
      <c r="F123" s="28">
        <v>35866</v>
      </c>
    </row>
    <row r="124" spans="1:6" s="16" customFormat="1" x14ac:dyDescent="0.2">
      <c r="A124" s="49" t="s">
        <v>15</v>
      </c>
      <c r="B124" s="50"/>
      <c r="C124" s="14">
        <f>SUM(C112:C123)</f>
        <v>58223</v>
      </c>
      <c r="D124" s="14">
        <f>SUM(D112:D123)</f>
        <v>55354</v>
      </c>
      <c r="E124" s="14">
        <f>SUM(E112:E123)</f>
        <v>2869</v>
      </c>
      <c r="F124" s="15">
        <v>35866</v>
      </c>
    </row>
    <row r="125" spans="1:6" s="16" customFormat="1" x14ac:dyDescent="0.2">
      <c r="A125" s="23">
        <v>2002</v>
      </c>
      <c r="B125" s="24" t="s">
        <v>27</v>
      </c>
      <c r="C125" s="29">
        <v>3972</v>
      </c>
      <c r="D125" s="29">
        <v>3801</v>
      </c>
      <c r="E125" s="29">
        <f>C125-D125</f>
        <v>171</v>
      </c>
      <c r="F125" s="26">
        <v>36167</v>
      </c>
    </row>
    <row r="126" spans="1:6" s="16" customFormat="1" x14ac:dyDescent="0.2">
      <c r="B126" s="30" t="s">
        <v>4</v>
      </c>
      <c r="C126" s="29">
        <v>3658</v>
      </c>
      <c r="D126" s="29">
        <v>3399</v>
      </c>
      <c r="E126" s="29">
        <f t="shared" ref="E126:E136" si="2">C126-D126</f>
        <v>259</v>
      </c>
      <c r="F126" s="26">
        <v>35906</v>
      </c>
    </row>
    <row r="127" spans="1:6" s="16" customFormat="1" x14ac:dyDescent="0.2">
      <c r="B127" s="30" t="s">
        <v>5</v>
      </c>
      <c r="C127" s="29">
        <v>4260</v>
      </c>
      <c r="D127" s="29">
        <v>3666</v>
      </c>
      <c r="E127" s="29">
        <f t="shared" si="2"/>
        <v>594</v>
      </c>
      <c r="F127" s="26">
        <v>36721</v>
      </c>
    </row>
    <row r="128" spans="1:6" s="16" customFormat="1" x14ac:dyDescent="0.2">
      <c r="B128" s="30" t="s">
        <v>6</v>
      </c>
      <c r="C128" s="29">
        <v>4641</v>
      </c>
      <c r="D128" s="29">
        <v>4147</v>
      </c>
      <c r="E128" s="29">
        <f t="shared" si="2"/>
        <v>494</v>
      </c>
      <c r="F128" s="26">
        <v>33008</v>
      </c>
    </row>
    <row r="129" spans="1:6" s="16" customFormat="1" x14ac:dyDescent="0.2">
      <c r="B129" s="30" t="s">
        <v>7</v>
      </c>
      <c r="C129" s="29">
        <v>4441</v>
      </c>
      <c r="D129" s="29">
        <v>4018</v>
      </c>
      <c r="E129" s="29">
        <f t="shared" si="2"/>
        <v>423</v>
      </c>
      <c r="F129" s="26">
        <v>32889</v>
      </c>
    </row>
    <row r="130" spans="1:6" s="16" customFormat="1" x14ac:dyDescent="0.2">
      <c r="B130" s="30" t="s">
        <v>8</v>
      </c>
      <c r="C130" s="29">
        <v>4079</v>
      </c>
      <c r="D130" s="29">
        <v>3404</v>
      </c>
      <c r="E130" s="29">
        <f t="shared" si="2"/>
        <v>675</v>
      </c>
      <c r="F130" s="26">
        <v>41999</v>
      </c>
    </row>
    <row r="131" spans="1:6" s="16" customFormat="1" x14ac:dyDescent="0.2">
      <c r="B131" s="30" t="s">
        <v>9</v>
      </c>
      <c r="C131" s="29">
        <v>6223</v>
      </c>
      <c r="D131" s="29">
        <v>5026</v>
      </c>
      <c r="E131" s="29">
        <f t="shared" si="2"/>
        <v>1197</v>
      </c>
      <c r="F131" s="26">
        <v>39060</v>
      </c>
    </row>
    <row r="132" spans="1:6" s="16" customFormat="1" x14ac:dyDescent="0.2">
      <c r="B132" s="30" t="s">
        <v>10</v>
      </c>
      <c r="C132" s="29">
        <v>5751</v>
      </c>
      <c r="D132" s="29">
        <v>4176</v>
      </c>
      <c r="E132" s="29">
        <f t="shared" si="2"/>
        <v>1575</v>
      </c>
      <c r="F132" s="26">
        <v>37643</v>
      </c>
    </row>
    <row r="133" spans="1:6" s="16" customFormat="1" x14ac:dyDescent="0.2">
      <c r="B133" s="30" t="s">
        <v>11</v>
      </c>
      <c r="C133" s="29">
        <v>6492</v>
      </c>
      <c r="D133" s="29">
        <v>4012</v>
      </c>
      <c r="E133" s="29">
        <f t="shared" si="2"/>
        <v>2480</v>
      </c>
      <c r="F133" s="26">
        <v>38381</v>
      </c>
    </row>
    <row r="134" spans="1:6" s="16" customFormat="1" x14ac:dyDescent="0.2">
      <c r="B134" s="30" t="s">
        <v>12</v>
      </c>
      <c r="C134" s="29">
        <v>6474</v>
      </c>
      <c r="D134" s="29">
        <v>4270</v>
      </c>
      <c r="E134" s="29">
        <f t="shared" si="2"/>
        <v>2204</v>
      </c>
      <c r="F134" s="26">
        <v>35855</v>
      </c>
    </row>
    <row r="135" spans="1:6" s="16" customFormat="1" x14ac:dyDescent="0.2">
      <c r="B135" s="30" t="s">
        <v>13</v>
      </c>
      <c r="C135" s="29">
        <v>5127</v>
      </c>
      <c r="D135" s="29">
        <v>3863</v>
      </c>
      <c r="E135" s="29">
        <f t="shared" si="2"/>
        <v>1264</v>
      </c>
      <c r="F135" s="26">
        <v>35592</v>
      </c>
    </row>
    <row r="136" spans="1:6" s="16" customFormat="1" x14ac:dyDescent="0.2">
      <c r="B136" s="30" t="s">
        <v>14</v>
      </c>
      <c r="C136" s="29">
        <v>5242</v>
      </c>
      <c r="D136" s="29">
        <v>3442</v>
      </c>
      <c r="E136" s="29">
        <f t="shared" si="2"/>
        <v>1800</v>
      </c>
      <c r="F136" s="26">
        <v>37823</v>
      </c>
    </row>
    <row r="137" spans="1:6" s="16" customFormat="1" x14ac:dyDescent="0.2">
      <c r="A137" s="49" t="s">
        <v>15</v>
      </c>
      <c r="B137" s="50"/>
      <c r="C137" s="14">
        <f>SUM(C125:C136)</f>
        <v>60360</v>
      </c>
      <c r="D137" s="14">
        <f>SUM(D125:D136)</f>
        <v>47224</v>
      </c>
      <c r="E137" s="14">
        <f>SUM(E125:E136)</f>
        <v>13136</v>
      </c>
      <c r="F137" s="15">
        <v>37823</v>
      </c>
    </row>
    <row r="138" spans="1:6" s="16" customFormat="1" x14ac:dyDescent="0.2">
      <c r="A138" s="23">
        <v>2003</v>
      </c>
      <c r="B138" s="24" t="s">
        <v>27</v>
      </c>
      <c r="C138" s="29">
        <v>4805</v>
      </c>
      <c r="D138" s="29">
        <v>3645</v>
      </c>
      <c r="E138" s="29">
        <f>C138-D138</f>
        <v>1160</v>
      </c>
      <c r="F138" s="26">
        <v>38772</v>
      </c>
    </row>
    <row r="139" spans="1:6" s="16" customFormat="1" x14ac:dyDescent="0.2">
      <c r="B139" s="30" t="s">
        <v>4</v>
      </c>
      <c r="C139" s="29">
        <v>5001</v>
      </c>
      <c r="D139" s="29">
        <v>3878</v>
      </c>
      <c r="E139" s="29">
        <f t="shared" ref="E139:E149" si="3">C139-D139</f>
        <v>1123</v>
      </c>
      <c r="F139" s="26">
        <v>38530</v>
      </c>
    </row>
    <row r="140" spans="1:6" s="16" customFormat="1" x14ac:dyDescent="0.2">
      <c r="B140" s="30" t="s">
        <v>5</v>
      </c>
      <c r="C140" s="29">
        <v>5239</v>
      </c>
      <c r="D140" s="29">
        <v>3759</v>
      </c>
      <c r="E140" s="29">
        <f t="shared" si="3"/>
        <v>1480</v>
      </c>
      <c r="F140" s="26">
        <v>42335</v>
      </c>
    </row>
    <row r="141" spans="1:6" s="16" customFormat="1" x14ac:dyDescent="0.2">
      <c r="B141" s="30" t="s">
        <v>6</v>
      </c>
      <c r="C141" s="29">
        <v>5711</v>
      </c>
      <c r="D141" s="29">
        <v>3997</v>
      </c>
      <c r="E141" s="29">
        <f t="shared" si="3"/>
        <v>1714</v>
      </c>
      <c r="F141" s="26">
        <v>41500</v>
      </c>
    </row>
    <row r="142" spans="1:6" s="16" customFormat="1" x14ac:dyDescent="0.2">
      <c r="B142" s="30" t="s">
        <v>7</v>
      </c>
      <c r="C142" s="29">
        <v>6372</v>
      </c>
      <c r="D142" s="29">
        <v>3865</v>
      </c>
      <c r="E142" s="29">
        <f t="shared" si="3"/>
        <v>2507</v>
      </c>
      <c r="F142" s="26">
        <v>43373</v>
      </c>
    </row>
    <row r="143" spans="1:6" s="16" customFormat="1" x14ac:dyDescent="0.2">
      <c r="B143" s="30" t="s">
        <v>8</v>
      </c>
      <c r="C143" s="29">
        <v>5874</v>
      </c>
      <c r="D143" s="29">
        <v>3517</v>
      </c>
      <c r="E143" s="29">
        <f t="shared" si="3"/>
        <v>2357</v>
      </c>
      <c r="F143" s="26">
        <v>47956</v>
      </c>
    </row>
    <row r="144" spans="1:6" s="16" customFormat="1" x14ac:dyDescent="0.2">
      <c r="B144" s="30" t="s">
        <v>9</v>
      </c>
      <c r="C144" s="29">
        <v>6104</v>
      </c>
      <c r="D144" s="29">
        <v>4047</v>
      </c>
      <c r="E144" s="29">
        <f t="shared" si="3"/>
        <v>2057</v>
      </c>
      <c r="F144" s="26">
        <v>47645</v>
      </c>
    </row>
    <row r="145" spans="1:6" s="16" customFormat="1" x14ac:dyDescent="0.2">
      <c r="B145" s="30" t="s">
        <v>10</v>
      </c>
      <c r="C145" s="29">
        <v>6403</v>
      </c>
      <c r="D145" s="29">
        <v>3729</v>
      </c>
      <c r="E145" s="29">
        <f t="shared" si="3"/>
        <v>2674</v>
      </c>
      <c r="F145" s="26">
        <v>47793</v>
      </c>
    </row>
    <row r="146" spans="1:6" s="16" customFormat="1" x14ac:dyDescent="0.2">
      <c r="B146" s="30" t="s">
        <v>11</v>
      </c>
      <c r="C146" s="29">
        <v>7280</v>
      </c>
      <c r="D146" s="29">
        <v>4610</v>
      </c>
      <c r="E146" s="29">
        <f t="shared" si="3"/>
        <v>2670</v>
      </c>
      <c r="F146" s="26">
        <v>52675</v>
      </c>
    </row>
    <row r="147" spans="1:6" s="16" customFormat="1" x14ac:dyDescent="0.2">
      <c r="B147" s="30" t="s">
        <v>12</v>
      </c>
      <c r="C147" s="29">
        <v>7566</v>
      </c>
      <c r="D147" s="29">
        <v>5023</v>
      </c>
      <c r="E147" s="29">
        <f t="shared" si="3"/>
        <v>2543</v>
      </c>
      <c r="F147" s="26">
        <v>54093</v>
      </c>
    </row>
    <row r="148" spans="1:6" s="16" customFormat="1" x14ac:dyDescent="0.2">
      <c r="B148" s="30" t="s">
        <v>13</v>
      </c>
      <c r="C148" s="29">
        <v>5980</v>
      </c>
      <c r="D148" s="29">
        <v>4248</v>
      </c>
      <c r="E148" s="29">
        <f t="shared" si="3"/>
        <v>1732</v>
      </c>
      <c r="F148" s="26">
        <v>54427</v>
      </c>
    </row>
    <row r="149" spans="1:6" s="16" customFormat="1" x14ac:dyDescent="0.2">
      <c r="B149" s="30" t="s">
        <v>14</v>
      </c>
      <c r="C149" s="29">
        <v>6748</v>
      </c>
      <c r="D149" s="29">
        <v>3989</v>
      </c>
      <c r="E149" s="29">
        <f t="shared" si="3"/>
        <v>2759</v>
      </c>
      <c r="F149" s="26">
        <v>49296</v>
      </c>
    </row>
    <row r="150" spans="1:6" s="16" customFormat="1" x14ac:dyDescent="0.2">
      <c r="A150" s="49" t="s">
        <v>15</v>
      </c>
      <c r="B150" s="50"/>
      <c r="C150" s="14">
        <f>SUM(C138:C149)</f>
        <v>73083</v>
      </c>
      <c r="D150" s="14">
        <f>SUM(D138:D149)</f>
        <v>48307</v>
      </c>
      <c r="E150" s="14">
        <f>SUM(E138:E149)</f>
        <v>24776</v>
      </c>
      <c r="F150" s="15">
        <v>49296</v>
      </c>
    </row>
    <row r="151" spans="1:6" s="16" customFormat="1" x14ac:dyDescent="0.2">
      <c r="A151" s="34">
        <v>2004</v>
      </c>
      <c r="B151" s="24" t="s">
        <v>27</v>
      </c>
      <c r="C151" s="29">
        <v>5800</v>
      </c>
      <c r="D151" s="29">
        <v>4212</v>
      </c>
      <c r="E151" s="29">
        <f>C151-D151</f>
        <v>1588</v>
      </c>
      <c r="F151" s="26">
        <v>53261</v>
      </c>
    </row>
    <row r="152" spans="1:6" s="16" customFormat="1" x14ac:dyDescent="0.2">
      <c r="B152" s="30" t="s">
        <v>4</v>
      </c>
      <c r="C152" s="29">
        <v>5722</v>
      </c>
      <c r="D152" s="29">
        <v>3740</v>
      </c>
      <c r="E152" s="29">
        <f t="shared" ref="E152:E161" si="4">C152-D152</f>
        <v>1982</v>
      </c>
      <c r="F152" s="26">
        <v>52960</v>
      </c>
    </row>
    <row r="153" spans="1:6" s="16" customFormat="1" x14ac:dyDescent="0.2">
      <c r="B153" s="30" t="s">
        <v>5</v>
      </c>
      <c r="C153" s="29">
        <v>7927</v>
      </c>
      <c r="D153" s="29">
        <v>5325</v>
      </c>
      <c r="E153" s="29">
        <f t="shared" si="4"/>
        <v>2602</v>
      </c>
      <c r="F153" s="26">
        <v>51612</v>
      </c>
    </row>
    <row r="154" spans="1:6" s="16" customFormat="1" x14ac:dyDescent="0.2">
      <c r="B154" s="30" t="s">
        <v>6</v>
      </c>
      <c r="C154" s="29">
        <v>6590</v>
      </c>
      <c r="D154" s="29">
        <v>4632</v>
      </c>
      <c r="E154" s="29">
        <f t="shared" si="4"/>
        <v>1958</v>
      </c>
      <c r="F154" s="26">
        <v>50498</v>
      </c>
    </row>
    <row r="155" spans="1:6" s="16" customFormat="1" x14ac:dyDescent="0.2">
      <c r="B155" s="30" t="s">
        <v>7</v>
      </c>
      <c r="C155" s="29">
        <v>7941</v>
      </c>
      <c r="D155" s="29">
        <v>4823</v>
      </c>
      <c r="E155" s="29">
        <f t="shared" si="4"/>
        <v>3118</v>
      </c>
      <c r="F155" s="26">
        <v>50540</v>
      </c>
    </row>
    <row r="156" spans="1:6" s="16" customFormat="1" x14ac:dyDescent="0.2">
      <c r="B156" s="30" t="s">
        <v>8</v>
      </c>
      <c r="C156" s="29">
        <v>9327</v>
      </c>
      <c r="D156" s="29">
        <v>5517</v>
      </c>
      <c r="E156" s="29">
        <f t="shared" si="4"/>
        <v>3810</v>
      </c>
      <c r="F156" s="26">
        <v>49805</v>
      </c>
    </row>
    <row r="157" spans="1:6" s="16" customFormat="1" x14ac:dyDescent="0.2">
      <c r="B157" s="30" t="s">
        <v>9</v>
      </c>
      <c r="C157" s="29">
        <v>8992</v>
      </c>
      <c r="D157" s="29">
        <v>5512</v>
      </c>
      <c r="E157" s="29">
        <f t="shared" si="4"/>
        <v>3480</v>
      </c>
      <c r="F157" s="26">
        <v>49666</v>
      </c>
    </row>
    <row r="158" spans="1:6" s="16" customFormat="1" x14ac:dyDescent="0.2">
      <c r="B158" s="30" t="s">
        <v>10</v>
      </c>
      <c r="C158" s="29">
        <v>9056</v>
      </c>
      <c r="D158" s="29">
        <v>5623</v>
      </c>
      <c r="E158" s="29">
        <f t="shared" si="4"/>
        <v>3433</v>
      </c>
      <c r="F158" s="26">
        <v>49594</v>
      </c>
    </row>
    <row r="159" spans="1:6" s="16" customFormat="1" x14ac:dyDescent="0.2">
      <c r="B159" s="30" t="s">
        <v>11</v>
      </c>
      <c r="C159" s="29">
        <v>8923</v>
      </c>
      <c r="D159" s="29">
        <v>5751</v>
      </c>
      <c r="E159" s="29">
        <f t="shared" si="4"/>
        <v>3172</v>
      </c>
      <c r="F159" s="26">
        <v>49496</v>
      </c>
    </row>
    <row r="160" spans="1:6" s="16" customFormat="1" x14ac:dyDescent="0.2">
      <c r="B160" s="30" t="s">
        <v>12</v>
      </c>
      <c r="C160" s="29">
        <v>8843</v>
      </c>
      <c r="D160" s="29">
        <v>5836</v>
      </c>
      <c r="E160" s="29">
        <f t="shared" si="4"/>
        <v>3007</v>
      </c>
      <c r="F160" s="26">
        <v>49416</v>
      </c>
    </row>
    <row r="161" spans="1:6" s="16" customFormat="1" x14ac:dyDescent="0.2">
      <c r="B161" s="30" t="s">
        <v>13</v>
      </c>
      <c r="C161" s="29">
        <v>8159</v>
      </c>
      <c r="D161" s="29">
        <v>6082</v>
      </c>
      <c r="E161" s="29">
        <f t="shared" si="4"/>
        <v>2077</v>
      </c>
      <c r="F161" s="26">
        <v>50133</v>
      </c>
    </row>
    <row r="162" spans="1:6" s="16" customFormat="1" x14ac:dyDescent="0.2">
      <c r="B162" s="30" t="s">
        <v>14</v>
      </c>
      <c r="C162" s="29">
        <v>9194</v>
      </c>
      <c r="D162" s="29">
        <v>5684</v>
      </c>
      <c r="E162" s="29">
        <f>C162-D162</f>
        <v>3510</v>
      </c>
      <c r="F162" s="26">
        <v>52935</v>
      </c>
    </row>
    <row r="163" spans="1:6" s="16" customFormat="1" x14ac:dyDescent="0.2">
      <c r="A163" s="49" t="s">
        <v>15</v>
      </c>
      <c r="B163" s="50"/>
      <c r="C163" s="14">
        <f>SUM(C151:C162)</f>
        <v>96474</v>
      </c>
      <c r="D163" s="14">
        <f>SUM(D151:D162)</f>
        <v>62737</v>
      </c>
      <c r="E163" s="14">
        <f>SUM(E151:E162)</f>
        <v>33737</v>
      </c>
      <c r="F163" s="15">
        <v>52935</v>
      </c>
    </row>
    <row r="164" spans="1:6" s="16" customFormat="1" x14ac:dyDescent="0.2">
      <c r="A164" s="34">
        <v>2005</v>
      </c>
      <c r="B164" s="24" t="s">
        <v>27</v>
      </c>
      <c r="C164" s="29">
        <v>7444</v>
      </c>
      <c r="D164" s="29">
        <v>5261</v>
      </c>
      <c r="E164" s="29">
        <f>C164-D164</f>
        <v>2183</v>
      </c>
      <c r="F164" s="26">
        <v>54022</v>
      </c>
    </row>
    <row r="165" spans="1:6" s="16" customFormat="1" x14ac:dyDescent="0.2">
      <c r="B165" s="30" t="s">
        <v>4</v>
      </c>
      <c r="C165" s="29">
        <v>7756</v>
      </c>
      <c r="D165" s="29">
        <v>4970</v>
      </c>
      <c r="E165" s="29">
        <f t="shared" ref="E165:E175" si="5">C165-D165</f>
        <v>2786</v>
      </c>
      <c r="F165" s="26">
        <v>59017</v>
      </c>
    </row>
    <row r="166" spans="1:6" s="16" customFormat="1" x14ac:dyDescent="0.2">
      <c r="B166" s="30" t="s">
        <v>5</v>
      </c>
      <c r="C166" s="29">
        <v>9251</v>
      </c>
      <c r="D166" s="29">
        <v>5902</v>
      </c>
      <c r="E166" s="29">
        <f t="shared" si="5"/>
        <v>3349</v>
      </c>
      <c r="F166" s="26">
        <v>61960</v>
      </c>
    </row>
    <row r="167" spans="1:6" s="16" customFormat="1" x14ac:dyDescent="0.2">
      <c r="B167" s="30" t="s">
        <v>6</v>
      </c>
      <c r="C167" s="29">
        <v>9202</v>
      </c>
      <c r="D167" s="29">
        <v>5326</v>
      </c>
      <c r="E167" s="29">
        <f t="shared" si="5"/>
        <v>3876</v>
      </c>
      <c r="F167" s="26">
        <v>61591</v>
      </c>
    </row>
    <row r="168" spans="1:6" s="16" customFormat="1" x14ac:dyDescent="0.2">
      <c r="B168" s="30" t="s">
        <v>7</v>
      </c>
      <c r="C168" s="29">
        <v>9819</v>
      </c>
      <c r="D168" s="29">
        <v>6367</v>
      </c>
      <c r="E168" s="29">
        <f t="shared" si="5"/>
        <v>3452</v>
      </c>
      <c r="F168" s="26">
        <v>60709</v>
      </c>
    </row>
    <row r="169" spans="1:6" s="16" customFormat="1" x14ac:dyDescent="0.2">
      <c r="B169" s="30" t="s">
        <v>8</v>
      </c>
      <c r="C169" s="29">
        <v>10207</v>
      </c>
      <c r="D169" s="29">
        <v>6176</v>
      </c>
      <c r="E169" s="29">
        <f t="shared" si="5"/>
        <v>4031</v>
      </c>
      <c r="F169" s="26">
        <v>59885</v>
      </c>
    </row>
    <row r="170" spans="1:6" s="16" customFormat="1" x14ac:dyDescent="0.2">
      <c r="B170" s="30" t="s">
        <v>9</v>
      </c>
      <c r="C170" s="29">
        <v>11061</v>
      </c>
      <c r="D170" s="35">
        <v>6050</v>
      </c>
      <c r="E170" s="29">
        <f t="shared" si="5"/>
        <v>5011</v>
      </c>
      <c r="F170" s="26">
        <v>54688</v>
      </c>
    </row>
    <row r="171" spans="1:6" s="16" customFormat="1" x14ac:dyDescent="0.2">
      <c r="B171" s="30" t="s">
        <v>10</v>
      </c>
      <c r="C171" s="29">
        <v>11348</v>
      </c>
      <c r="D171" s="36">
        <v>7676</v>
      </c>
      <c r="E171" s="29">
        <f t="shared" si="5"/>
        <v>3672</v>
      </c>
      <c r="F171" s="26">
        <v>55076</v>
      </c>
    </row>
    <row r="172" spans="1:6" s="16" customFormat="1" x14ac:dyDescent="0.2">
      <c r="B172" s="30" t="s">
        <v>11</v>
      </c>
      <c r="C172" s="29">
        <v>10635</v>
      </c>
      <c r="D172" s="29">
        <v>6306</v>
      </c>
      <c r="E172" s="29">
        <f t="shared" si="5"/>
        <v>4329</v>
      </c>
      <c r="F172" s="26">
        <v>57008</v>
      </c>
    </row>
    <row r="173" spans="1:6" s="16" customFormat="1" x14ac:dyDescent="0.2">
      <c r="B173" s="30" t="s">
        <v>12</v>
      </c>
      <c r="C173" s="29">
        <v>9903</v>
      </c>
      <c r="D173" s="29">
        <v>6218</v>
      </c>
      <c r="E173" s="29">
        <f t="shared" si="5"/>
        <v>3685</v>
      </c>
      <c r="F173" s="26">
        <v>60245</v>
      </c>
    </row>
    <row r="174" spans="1:6" s="16" customFormat="1" x14ac:dyDescent="0.2">
      <c r="B174" s="30" t="s">
        <v>13</v>
      </c>
      <c r="C174" s="29">
        <v>10790</v>
      </c>
      <c r="D174" s="29">
        <v>6700</v>
      </c>
      <c r="E174" s="29">
        <f t="shared" si="5"/>
        <v>4090</v>
      </c>
      <c r="F174" s="26">
        <v>64277</v>
      </c>
    </row>
    <row r="175" spans="1:6" s="16" customFormat="1" x14ac:dyDescent="0.2">
      <c r="B175" s="30" t="s">
        <v>14</v>
      </c>
      <c r="C175" s="29">
        <v>10896</v>
      </c>
      <c r="D175" s="29">
        <v>6551</v>
      </c>
      <c r="E175" s="29">
        <f t="shared" si="5"/>
        <v>4345</v>
      </c>
      <c r="F175" s="26">
        <v>53799</v>
      </c>
    </row>
    <row r="176" spans="1:6" s="16" customFormat="1" x14ac:dyDescent="0.2">
      <c r="A176" s="49" t="s">
        <v>15</v>
      </c>
      <c r="B176" s="50"/>
      <c r="C176" s="14">
        <f>SUM(C164:C175)</f>
        <v>118312</v>
      </c>
      <c r="D176" s="14">
        <f>SUM(D164:D175)</f>
        <v>73503</v>
      </c>
      <c r="E176" s="14">
        <f>SUM(E164:E175)</f>
        <v>44809</v>
      </c>
      <c r="F176" s="15">
        <v>53799</v>
      </c>
    </row>
    <row r="177" spans="1:6" s="16" customFormat="1" x14ac:dyDescent="0.2">
      <c r="A177" s="34">
        <v>2006</v>
      </c>
      <c r="B177" s="24" t="s">
        <v>27</v>
      </c>
      <c r="C177" s="35">
        <v>9271</v>
      </c>
      <c r="D177" s="29">
        <v>6427</v>
      </c>
      <c r="E177" s="29">
        <f>C177-D177</f>
        <v>2844</v>
      </c>
      <c r="F177" s="26">
        <v>56924</v>
      </c>
    </row>
    <row r="178" spans="1:6" s="16" customFormat="1" x14ac:dyDescent="0.2">
      <c r="B178" s="30" t="s">
        <v>4</v>
      </c>
      <c r="C178" s="35">
        <v>8750</v>
      </c>
      <c r="D178" s="29">
        <v>5928</v>
      </c>
      <c r="E178" s="29">
        <f t="shared" ref="E178:E187" si="6">C178-D178</f>
        <v>2822</v>
      </c>
      <c r="F178" s="26">
        <v>57415</v>
      </c>
    </row>
    <row r="179" spans="1:6" s="16" customFormat="1" x14ac:dyDescent="0.2">
      <c r="B179" s="30" t="s">
        <v>5</v>
      </c>
      <c r="C179" s="35">
        <v>11367</v>
      </c>
      <c r="D179" s="29">
        <v>7686</v>
      </c>
      <c r="E179" s="29">
        <f t="shared" si="6"/>
        <v>3681</v>
      </c>
      <c r="F179" s="26">
        <v>59824</v>
      </c>
    </row>
    <row r="180" spans="1:6" s="16" customFormat="1" x14ac:dyDescent="0.2">
      <c r="B180" s="30" t="s">
        <v>6</v>
      </c>
      <c r="C180" s="35">
        <v>9804</v>
      </c>
      <c r="D180" s="29">
        <v>6707</v>
      </c>
      <c r="E180" s="29">
        <f t="shared" si="6"/>
        <v>3097</v>
      </c>
      <c r="F180" s="26">
        <v>56552</v>
      </c>
    </row>
    <row r="181" spans="1:6" s="16" customFormat="1" x14ac:dyDescent="0.2">
      <c r="B181" s="30" t="s">
        <v>7</v>
      </c>
      <c r="C181" s="35">
        <v>10275</v>
      </c>
      <c r="D181" s="29">
        <v>7247</v>
      </c>
      <c r="E181" s="29">
        <f t="shared" si="6"/>
        <v>3028</v>
      </c>
      <c r="F181" s="26">
        <v>63381</v>
      </c>
    </row>
    <row r="182" spans="1:6" s="16" customFormat="1" x14ac:dyDescent="0.2">
      <c r="B182" s="30" t="s">
        <v>8</v>
      </c>
      <c r="C182" s="35">
        <v>11435</v>
      </c>
      <c r="D182" s="29">
        <v>7353</v>
      </c>
      <c r="E182" s="29">
        <f t="shared" si="6"/>
        <v>4082</v>
      </c>
      <c r="F182" s="26">
        <v>62670</v>
      </c>
    </row>
    <row r="183" spans="1:6" s="16" customFormat="1" x14ac:dyDescent="0.2">
      <c r="B183" s="30" t="s">
        <v>9</v>
      </c>
      <c r="C183" s="35">
        <v>13622</v>
      </c>
      <c r="D183" s="29">
        <v>7985</v>
      </c>
      <c r="E183" s="29">
        <f t="shared" si="6"/>
        <v>5637</v>
      </c>
      <c r="F183" s="26">
        <v>66819</v>
      </c>
    </row>
    <row r="184" spans="1:6" s="16" customFormat="1" x14ac:dyDescent="0.2">
      <c r="B184" s="30" t="s">
        <v>10</v>
      </c>
      <c r="C184" s="35">
        <v>13642</v>
      </c>
      <c r="D184" s="29">
        <v>9127</v>
      </c>
      <c r="E184" s="29">
        <f t="shared" si="6"/>
        <v>4515</v>
      </c>
      <c r="F184" s="26">
        <v>71478</v>
      </c>
    </row>
    <row r="185" spans="1:6" s="16" customFormat="1" x14ac:dyDescent="0.2">
      <c r="B185" s="30" t="s">
        <v>11</v>
      </c>
      <c r="C185" s="35">
        <v>12549</v>
      </c>
      <c r="D185" s="29">
        <v>8121</v>
      </c>
      <c r="E185" s="29">
        <f t="shared" si="6"/>
        <v>4428</v>
      </c>
      <c r="F185" s="26">
        <v>73393</v>
      </c>
    </row>
    <row r="186" spans="1:6" s="16" customFormat="1" x14ac:dyDescent="0.2">
      <c r="B186" s="30" t="s">
        <v>12</v>
      </c>
      <c r="C186" s="35">
        <v>12661</v>
      </c>
      <c r="D186" s="29">
        <v>8745</v>
      </c>
      <c r="E186" s="29">
        <f t="shared" si="6"/>
        <v>3916</v>
      </c>
      <c r="F186" s="26">
        <v>78171</v>
      </c>
    </row>
    <row r="187" spans="1:6" s="16" customFormat="1" x14ac:dyDescent="0.2">
      <c r="B187" s="30" t="s">
        <v>13</v>
      </c>
      <c r="C187" s="35">
        <v>11866</v>
      </c>
      <c r="D187" s="29">
        <v>8672</v>
      </c>
      <c r="E187" s="29">
        <f t="shared" si="6"/>
        <v>3194</v>
      </c>
      <c r="F187" s="26">
        <v>83114</v>
      </c>
    </row>
    <row r="188" spans="1:6" s="16" customFormat="1" x14ac:dyDescent="0.2">
      <c r="B188" s="30" t="s">
        <v>14</v>
      </c>
      <c r="C188" s="35">
        <v>12235</v>
      </c>
      <c r="D188" s="29">
        <v>7223</v>
      </c>
      <c r="E188" s="29">
        <f>C188-D188</f>
        <v>5012</v>
      </c>
      <c r="F188" s="26">
        <v>85839</v>
      </c>
    </row>
    <row r="189" spans="1:6" s="16" customFormat="1" x14ac:dyDescent="0.2">
      <c r="A189" s="49" t="s">
        <v>15</v>
      </c>
      <c r="B189" s="50"/>
      <c r="C189" s="14">
        <f>SUM(C177:C188)</f>
        <v>137477</v>
      </c>
      <c r="D189" s="14">
        <f>SUM(D177:D188)</f>
        <v>91221</v>
      </c>
      <c r="E189" s="14">
        <f>SUM(E177:E188)</f>
        <v>46256</v>
      </c>
      <c r="F189" s="15">
        <v>85839</v>
      </c>
    </row>
    <row r="190" spans="1:6" s="16" customFormat="1" x14ac:dyDescent="0.2">
      <c r="A190" s="34">
        <v>2007</v>
      </c>
      <c r="B190" s="24" t="s">
        <v>27</v>
      </c>
      <c r="C190" s="29">
        <v>10963</v>
      </c>
      <c r="D190" s="37">
        <v>8470</v>
      </c>
      <c r="E190" s="32">
        <f>C190-D190</f>
        <v>2493</v>
      </c>
      <c r="F190" s="26">
        <v>91086</v>
      </c>
    </row>
    <row r="191" spans="1:6" s="16" customFormat="1" x14ac:dyDescent="0.2">
      <c r="B191" s="30" t="s">
        <v>4</v>
      </c>
      <c r="C191" s="29">
        <v>10104</v>
      </c>
      <c r="D191" s="37">
        <v>7226</v>
      </c>
      <c r="E191" s="29">
        <f t="shared" ref="E191:E201" si="7">C191-D191</f>
        <v>2878</v>
      </c>
      <c r="F191" s="26">
        <v>101070</v>
      </c>
    </row>
    <row r="192" spans="1:6" s="16" customFormat="1" x14ac:dyDescent="0.2">
      <c r="B192" s="30" t="s">
        <v>5</v>
      </c>
      <c r="C192" s="29">
        <v>12855</v>
      </c>
      <c r="D192" s="37">
        <v>9532</v>
      </c>
      <c r="E192" s="29">
        <f t="shared" si="7"/>
        <v>3323</v>
      </c>
      <c r="F192" s="26">
        <v>109531</v>
      </c>
    </row>
    <row r="193" spans="1:6" s="16" customFormat="1" x14ac:dyDescent="0.2">
      <c r="B193" s="30" t="s">
        <v>6</v>
      </c>
      <c r="C193" s="29">
        <v>12449</v>
      </c>
      <c r="D193" s="37">
        <v>8246</v>
      </c>
      <c r="E193" s="29">
        <f t="shared" si="7"/>
        <v>4203</v>
      </c>
      <c r="F193" s="26">
        <v>121830</v>
      </c>
    </row>
    <row r="194" spans="1:6" s="16" customFormat="1" x14ac:dyDescent="0.2">
      <c r="B194" s="30" t="s">
        <v>7</v>
      </c>
      <c r="C194" s="29">
        <v>13648</v>
      </c>
      <c r="D194" s="29">
        <v>9780</v>
      </c>
      <c r="E194" s="29">
        <f t="shared" si="7"/>
        <v>3868</v>
      </c>
      <c r="F194" s="26">
        <v>136419</v>
      </c>
    </row>
    <row r="195" spans="1:6" s="16" customFormat="1" x14ac:dyDescent="0.2">
      <c r="B195" s="30" t="s">
        <v>8</v>
      </c>
      <c r="C195" s="29">
        <v>13119</v>
      </c>
      <c r="D195" s="37">
        <v>9303</v>
      </c>
      <c r="E195" s="29">
        <f t="shared" si="7"/>
        <v>3816</v>
      </c>
      <c r="F195" s="26">
        <v>147101</v>
      </c>
    </row>
    <row r="196" spans="1:6" s="16" customFormat="1" x14ac:dyDescent="0.2">
      <c r="B196" s="30" t="s">
        <v>9</v>
      </c>
      <c r="C196" s="29">
        <v>14120</v>
      </c>
      <c r="D196" s="37">
        <v>10773</v>
      </c>
      <c r="E196" s="29">
        <f t="shared" si="7"/>
        <v>3347</v>
      </c>
      <c r="F196" s="26">
        <v>155910</v>
      </c>
    </row>
    <row r="197" spans="1:6" s="16" customFormat="1" x14ac:dyDescent="0.2">
      <c r="B197" s="30" t="s">
        <v>10</v>
      </c>
      <c r="C197" s="29">
        <v>15101</v>
      </c>
      <c r="D197" s="37">
        <v>11566</v>
      </c>
      <c r="E197" s="29">
        <f t="shared" si="7"/>
        <v>3535</v>
      </c>
      <c r="F197" s="26">
        <v>161097</v>
      </c>
    </row>
    <row r="198" spans="1:6" s="16" customFormat="1" x14ac:dyDescent="0.2">
      <c r="B198" s="30" t="s">
        <v>11</v>
      </c>
      <c r="C198" s="29">
        <v>14166</v>
      </c>
      <c r="D198" s="37">
        <v>10695</v>
      </c>
      <c r="E198" s="29">
        <f t="shared" si="7"/>
        <v>3471</v>
      </c>
      <c r="F198" s="26">
        <v>162962</v>
      </c>
    </row>
    <row r="199" spans="1:6" s="16" customFormat="1" x14ac:dyDescent="0.2">
      <c r="B199" s="30" t="s">
        <v>12</v>
      </c>
      <c r="C199" s="29">
        <v>15769</v>
      </c>
      <c r="D199" s="37">
        <v>12330</v>
      </c>
      <c r="E199" s="29">
        <f t="shared" si="7"/>
        <v>3439</v>
      </c>
      <c r="F199" s="26">
        <v>167867</v>
      </c>
    </row>
    <row r="200" spans="1:6" s="16" customFormat="1" x14ac:dyDescent="0.2">
      <c r="B200" s="30" t="s">
        <v>13</v>
      </c>
      <c r="C200" s="29">
        <v>14052</v>
      </c>
      <c r="D200" s="37">
        <v>12025</v>
      </c>
      <c r="E200" s="29">
        <f t="shared" si="7"/>
        <v>2027</v>
      </c>
      <c r="F200" s="26">
        <v>177060</v>
      </c>
    </row>
    <row r="201" spans="1:6" s="16" customFormat="1" x14ac:dyDescent="0.2">
      <c r="B201" s="30" t="s">
        <v>14</v>
      </c>
      <c r="C201" s="29">
        <v>14231</v>
      </c>
      <c r="D201" s="37">
        <v>10595</v>
      </c>
      <c r="E201" s="29">
        <f t="shared" si="7"/>
        <v>3636</v>
      </c>
      <c r="F201" s="26">
        <v>180334</v>
      </c>
    </row>
    <row r="202" spans="1:6" s="16" customFormat="1" x14ac:dyDescent="0.2">
      <c r="A202" s="49" t="s">
        <v>15</v>
      </c>
      <c r="B202" s="50"/>
      <c r="C202" s="14">
        <f>SUM(C190:C201)</f>
        <v>160577</v>
      </c>
      <c r="D202" s="14">
        <f>SUM(D190:D201)</f>
        <v>120541</v>
      </c>
      <c r="E202" s="14">
        <f>SUM(E190:E201)</f>
        <v>40036</v>
      </c>
      <c r="F202" s="15">
        <v>180334</v>
      </c>
    </row>
    <row r="203" spans="1:6" s="16" customFormat="1" x14ac:dyDescent="0.2">
      <c r="A203" s="34">
        <v>2008</v>
      </c>
      <c r="B203" s="24" t="s">
        <v>27</v>
      </c>
      <c r="C203" s="25">
        <v>13277</v>
      </c>
      <c r="D203" s="25">
        <v>12333</v>
      </c>
      <c r="E203" s="29">
        <f>C203-D203</f>
        <v>944</v>
      </c>
      <c r="F203" s="28">
        <v>187507.15337783998</v>
      </c>
    </row>
    <row r="204" spans="1:6" s="16" customFormat="1" x14ac:dyDescent="0.2">
      <c r="B204" s="30" t="s">
        <v>4</v>
      </c>
      <c r="C204" s="25">
        <v>12800</v>
      </c>
      <c r="D204" s="25">
        <v>11918</v>
      </c>
      <c r="E204" s="29">
        <f t="shared" ref="E204:E214" si="8">C204-D204</f>
        <v>882</v>
      </c>
      <c r="F204" s="28">
        <v>192901.82021788036</v>
      </c>
    </row>
    <row r="205" spans="1:6" s="16" customFormat="1" x14ac:dyDescent="0.2">
      <c r="B205" s="30" t="s">
        <v>5</v>
      </c>
      <c r="C205" s="25">
        <v>12613</v>
      </c>
      <c r="D205" s="25">
        <v>11601</v>
      </c>
      <c r="E205" s="29">
        <f t="shared" si="8"/>
        <v>1012</v>
      </c>
      <c r="F205" s="28">
        <v>195231.61486956032</v>
      </c>
    </row>
    <row r="206" spans="1:6" s="16" customFormat="1" x14ac:dyDescent="0.2">
      <c r="B206" s="30" t="s">
        <v>6</v>
      </c>
      <c r="C206" s="25">
        <v>14059</v>
      </c>
      <c r="D206" s="25">
        <v>12315</v>
      </c>
      <c r="E206" s="29">
        <f t="shared" si="8"/>
        <v>1744</v>
      </c>
      <c r="F206" s="28">
        <v>195766.85858139582</v>
      </c>
    </row>
    <row r="207" spans="1:6" s="16" customFormat="1" x14ac:dyDescent="0.2">
      <c r="B207" s="30" t="s">
        <v>7</v>
      </c>
      <c r="C207" s="25">
        <v>19306</v>
      </c>
      <c r="D207" s="25">
        <v>15229</v>
      </c>
      <c r="E207" s="29">
        <f t="shared" si="8"/>
        <v>4077</v>
      </c>
      <c r="F207" s="28">
        <v>197906.27405183899</v>
      </c>
    </row>
    <row r="208" spans="1:6" s="16" customFormat="1" x14ac:dyDescent="0.2">
      <c r="B208" s="30" t="s">
        <v>8</v>
      </c>
      <c r="C208" s="25">
        <v>18594</v>
      </c>
      <c r="D208" s="25">
        <v>15875</v>
      </c>
      <c r="E208" s="29">
        <f t="shared" si="8"/>
        <v>2719</v>
      </c>
      <c r="F208" s="28">
        <v>200827.06314200288</v>
      </c>
    </row>
    <row r="209" spans="1:6" s="16" customFormat="1" x14ac:dyDescent="0.2">
      <c r="B209" s="30" t="s">
        <v>9</v>
      </c>
      <c r="C209" s="25">
        <v>20453</v>
      </c>
      <c r="D209" s="25">
        <v>17149</v>
      </c>
      <c r="E209" s="29">
        <f t="shared" si="8"/>
        <v>3304</v>
      </c>
      <c r="F209" s="28">
        <v>203561.54205104936</v>
      </c>
    </row>
    <row r="210" spans="1:6" s="16" customFormat="1" x14ac:dyDescent="0.2">
      <c r="B210" s="30" t="s">
        <v>10</v>
      </c>
      <c r="C210" s="25">
        <v>19747</v>
      </c>
      <c r="D210" s="25">
        <v>17478</v>
      </c>
      <c r="E210" s="29">
        <f t="shared" si="8"/>
        <v>2269</v>
      </c>
      <c r="F210" s="28">
        <v>205116.12503910257</v>
      </c>
    </row>
    <row r="211" spans="1:6" s="16" customFormat="1" x14ac:dyDescent="0.2">
      <c r="B211" s="30" t="s">
        <v>11</v>
      </c>
      <c r="C211" s="25">
        <v>20025</v>
      </c>
      <c r="D211" s="25">
        <v>17263</v>
      </c>
      <c r="E211" s="29">
        <f t="shared" si="8"/>
        <v>2762</v>
      </c>
      <c r="F211" s="28">
        <v>206493.89861479713</v>
      </c>
    </row>
    <row r="212" spans="1:6" s="16" customFormat="1" x14ac:dyDescent="0.2">
      <c r="B212" s="30" t="s">
        <v>12</v>
      </c>
      <c r="C212" s="25">
        <v>18512</v>
      </c>
      <c r="D212" s="25">
        <v>17305</v>
      </c>
      <c r="E212" s="29">
        <f t="shared" si="8"/>
        <v>1207</v>
      </c>
      <c r="F212" s="28">
        <v>197228.87812469192</v>
      </c>
    </row>
    <row r="213" spans="1:6" s="16" customFormat="1" x14ac:dyDescent="0.2">
      <c r="B213" s="30" t="s">
        <v>13</v>
      </c>
      <c r="C213" s="25">
        <v>14753</v>
      </c>
      <c r="D213" s="25">
        <v>13140</v>
      </c>
      <c r="E213" s="29">
        <f t="shared" si="8"/>
        <v>1613</v>
      </c>
      <c r="F213" s="28">
        <v>194668.29251213674</v>
      </c>
    </row>
    <row r="214" spans="1:6" s="16" customFormat="1" x14ac:dyDescent="0.2">
      <c r="B214" s="30" t="s">
        <v>14</v>
      </c>
      <c r="C214" s="25">
        <v>13818</v>
      </c>
      <c r="D214" s="25">
        <v>11517</v>
      </c>
      <c r="E214" s="29">
        <f t="shared" si="8"/>
        <v>2301</v>
      </c>
      <c r="F214" s="28">
        <v>193783.38064322982</v>
      </c>
    </row>
    <row r="215" spans="1:6" s="16" customFormat="1" x14ac:dyDescent="0.2">
      <c r="A215" s="49" t="s">
        <v>15</v>
      </c>
      <c r="B215" s="50"/>
      <c r="C215" s="14">
        <f>SUM(C203:C214)</f>
        <v>197957</v>
      </c>
      <c r="D215" s="14">
        <f>SUM(D203:D214)</f>
        <v>173123</v>
      </c>
      <c r="E215" s="14">
        <f>SUM(E203:E214)</f>
        <v>24834</v>
      </c>
      <c r="F215" s="15">
        <v>193783.38064322982</v>
      </c>
    </row>
    <row r="216" spans="1:6" s="16" customFormat="1" x14ac:dyDescent="0.2">
      <c r="A216" s="34">
        <v>2009</v>
      </c>
      <c r="B216" s="24" t="s">
        <v>27</v>
      </c>
      <c r="C216" s="25">
        <v>9788</v>
      </c>
      <c r="D216" s="25">
        <v>10306</v>
      </c>
      <c r="E216" s="29">
        <f>C216-D216</f>
        <v>-518</v>
      </c>
      <c r="F216" s="28">
        <v>188101.6501743774</v>
      </c>
    </row>
    <row r="217" spans="1:6" s="16" customFormat="1" x14ac:dyDescent="0.2">
      <c r="B217" s="30" t="s">
        <v>4</v>
      </c>
      <c r="C217" s="25">
        <v>9588</v>
      </c>
      <c r="D217" s="25">
        <v>7821</v>
      </c>
      <c r="E217" s="29">
        <f t="shared" ref="E217:E227" si="9">C217-D217</f>
        <v>1767</v>
      </c>
      <c r="F217" s="28">
        <v>186880.43135852192</v>
      </c>
    </row>
    <row r="218" spans="1:6" s="16" customFormat="1" x14ac:dyDescent="0.2">
      <c r="B218" s="30" t="s">
        <v>5</v>
      </c>
      <c r="C218" s="25">
        <v>11809</v>
      </c>
      <c r="D218" s="25">
        <v>10038</v>
      </c>
      <c r="E218" s="29">
        <f t="shared" si="9"/>
        <v>1771</v>
      </c>
      <c r="F218" s="28">
        <v>190387.84176159074</v>
      </c>
    </row>
    <row r="219" spans="1:6" s="16" customFormat="1" x14ac:dyDescent="0.2">
      <c r="B219" s="30" t="s">
        <v>6</v>
      </c>
      <c r="C219" s="25">
        <v>12322</v>
      </c>
      <c r="D219" s="25">
        <v>8610</v>
      </c>
      <c r="E219" s="29">
        <f t="shared" si="9"/>
        <v>3712</v>
      </c>
      <c r="F219" s="28">
        <v>190545.95581950725</v>
      </c>
    </row>
    <row r="220" spans="1:6" s="16" customFormat="1" x14ac:dyDescent="0.2">
      <c r="B220" s="30" t="s">
        <v>7</v>
      </c>
      <c r="C220" s="25">
        <v>11985</v>
      </c>
      <c r="D220" s="25">
        <v>9334</v>
      </c>
      <c r="E220" s="29">
        <f t="shared" si="9"/>
        <v>2651</v>
      </c>
      <c r="F220" s="28">
        <v>195263.9912694958</v>
      </c>
    </row>
    <row r="221" spans="1:6" s="16" customFormat="1" x14ac:dyDescent="0.2">
      <c r="B221" s="30" t="s">
        <v>8</v>
      </c>
      <c r="C221" s="25">
        <v>14468</v>
      </c>
      <c r="D221" s="25">
        <v>9843</v>
      </c>
      <c r="E221" s="29">
        <f t="shared" si="9"/>
        <v>4625</v>
      </c>
      <c r="F221" s="28">
        <v>201467</v>
      </c>
    </row>
    <row r="222" spans="1:6" s="16" customFormat="1" x14ac:dyDescent="0.2">
      <c r="B222" s="30" t="s">
        <v>9</v>
      </c>
      <c r="C222" s="25">
        <v>14143</v>
      </c>
      <c r="D222" s="25">
        <v>11215</v>
      </c>
      <c r="E222" s="29">
        <f t="shared" si="9"/>
        <v>2928</v>
      </c>
      <c r="F222" s="28">
        <v>207363</v>
      </c>
    </row>
    <row r="223" spans="1:6" s="16" customFormat="1" x14ac:dyDescent="0.2">
      <c r="B223" s="30" t="s">
        <v>10</v>
      </c>
      <c r="C223" s="25">
        <v>13841</v>
      </c>
      <c r="D223" s="25">
        <v>10767</v>
      </c>
      <c r="E223" s="29">
        <f t="shared" si="9"/>
        <v>3074</v>
      </c>
      <c r="F223" s="28">
        <v>215744</v>
      </c>
    </row>
    <row r="224" spans="1:6" s="16" customFormat="1" x14ac:dyDescent="0.2">
      <c r="B224" s="30" t="s">
        <v>11</v>
      </c>
      <c r="C224" s="25">
        <v>13864</v>
      </c>
      <c r="D224" s="25">
        <v>12534</v>
      </c>
      <c r="E224" s="29">
        <f t="shared" si="9"/>
        <v>1330</v>
      </c>
      <c r="F224" s="28">
        <v>221629</v>
      </c>
    </row>
    <row r="225" spans="1:6" s="16" customFormat="1" x14ac:dyDescent="0.2">
      <c r="B225" s="30" t="s">
        <v>12</v>
      </c>
      <c r="C225" s="25">
        <v>14082</v>
      </c>
      <c r="D225" s="25">
        <v>12754</v>
      </c>
      <c r="E225" s="29">
        <f t="shared" si="9"/>
        <v>1328</v>
      </c>
      <c r="F225" s="28">
        <v>231123</v>
      </c>
    </row>
    <row r="226" spans="1:6" s="16" customFormat="1" x14ac:dyDescent="0.2">
      <c r="B226" s="30" t="s">
        <v>13</v>
      </c>
      <c r="C226" s="25">
        <v>12653</v>
      </c>
      <c r="D226" s="25">
        <v>12038</v>
      </c>
      <c r="E226" s="29">
        <f t="shared" si="9"/>
        <v>615</v>
      </c>
      <c r="F226" s="28">
        <v>236660</v>
      </c>
    </row>
    <row r="227" spans="1:6" s="16" customFormat="1" x14ac:dyDescent="0.2">
      <c r="B227" s="30" t="s">
        <v>14</v>
      </c>
      <c r="C227" s="25">
        <v>14463</v>
      </c>
      <c r="D227" s="25">
        <v>12285</v>
      </c>
      <c r="E227" s="29">
        <f t="shared" si="9"/>
        <v>2178</v>
      </c>
      <c r="F227" s="28">
        <v>238520</v>
      </c>
    </row>
    <row r="228" spans="1:6" s="16" customFormat="1" x14ac:dyDescent="0.2">
      <c r="A228" s="49" t="s">
        <v>15</v>
      </c>
      <c r="B228" s="50"/>
      <c r="C228" s="14">
        <f>SUM(C216:C227)</f>
        <v>153006</v>
      </c>
      <c r="D228" s="14">
        <f>SUM(D216:D227)</f>
        <v>127545</v>
      </c>
      <c r="E228" s="14">
        <f>SUM(E216:E227)</f>
        <v>25461</v>
      </c>
      <c r="F228" s="15">
        <v>238520</v>
      </c>
    </row>
    <row r="229" spans="1:6" s="16" customFormat="1" ht="12.75" customHeight="1" x14ac:dyDescent="0.2">
      <c r="A229" s="34">
        <v>2010</v>
      </c>
      <c r="B229" s="24" t="s">
        <v>27</v>
      </c>
      <c r="C229" s="48">
        <f>11298307700/1000000</f>
        <v>11298.307699999999</v>
      </c>
      <c r="D229" s="48">
        <f>11503770885/1000000</f>
        <v>11503.770885</v>
      </c>
      <c r="E229" s="29">
        <f>C229-D229</f>
        <v>-205.46318500000052</v>
      </c>
      <c r="F229" s="28">
        <v>240484</v>
      </c>
    </row>
    <row r="230" spans="1:6" s="16" customFormat="1" x14ac:dyDescent="0.2">
      <c r="B230" s="30" t="s">
        <v>4</v>
      </c>
      <c r="C230" s="25">
        <f>12192002643/1000000</f>
        <v>12192.002643</v>
      </c>
      <c r="D230" s="25">
        <f>11813442316/1000000</f>
        <v>11813.442316000001</v>
      </c>
      <c r="E230" s="29">
        <f t="shared" ref="E230:E240" si="10">C230-D230</f>
        <v>378.56032699999923</v>
      </c>
      <c r="F230" s="28">
        <v>241082</v>
      </c>
    </row>
    <row r="231" spans="1:6" s="16" customFormat="1" x14ac:dyDescent="0.2">
      <c r="B231" s="30" t="s">
        <v>5</v>
      </c>
      <c r="C231" s="25">
        <f>15722338627/1000000</f>
        <v>15722.338626999999</v>
      </c>
      <c r="D231" s="25">
        <f>15054279307/1000000</f>
        <v>15054.279307000001</v>
      </c>
      <c r="E231" s="29">
        <f t="shared" si="10"/>
        <v>668.05931999999848</v>
      </c>
      <c r="F231" s="28">
        <v>243762</v>
      </c>
    </row>
    <row r="232" spans="1:6" s="16" customFormat="1" x14ac:dyDescent="0.2">
      <c r="B232" s="30" t="s">
        <v>6</v>
      </c>
      <c r="C232" s="25">
        <f>15152532140/1000000</f>
        <v>15152.532139999999</v>
      </c>
      <c r="D232" s="25">
        <f>13879032814/1000000</f>
        <v>13879.032814</v>
      </c>
      <c r="E232" s="29">
        <f t="shared" si="10"/>
        <v>1273.4993259999992</v>
      </c>
      <c r="F232" s="28">
        <v>247292</v>
      </c>
    </row>
    <row r="233" spans="1:6" s="16" customFormat="1" x14ac:dyDescent="0.2">
      <c r="B233" s="30" t="s">
        <v>7</v>
      </c>
      <c r="C233" s="25">
        <f>17691830074/1000000</f>
        <v>17691.830074000001</v>
      </c>
      <c r="D233" s="25">
        <f>14244396090/1000000</f>
        <v>14244.39609</v>
      </c>
      <c r="E233" s="29">
        <f t="shared" si="10"/>
        <v>3447.4339840000011</v>
      </c>
      <c r="F233" s="28">
        <v>249846</v>
      </c>
    </row>
    <row r="234" spans="1:6" s="16" customFormat="1" x14ac:dyDescent="0.2">
      <c r="B234" s="30" t="s">
        <v>8</v>
      </c>
      <c r="C234" s="25">
        <f>17088559146/1000000</f>
        <v>17088.559146</v>
      </c>
      <c r="D234" s="25">
        <f>14828947481/1000000</f>
        <v>14828.947480999999</v>
      </c>
      <c r="E234" s="29">
        <f t="shared" si="10"/>
        <v>2259.6116650000004</v>
      </c>
      <c r="F234" s="28">
        <v>253114</v>
      </c>
    </row>
    <row r="235" spans="1:6" s="16" customFormat="1" x14ac:dyDescent="0.2">
      <c r="B235" s="30" t="s">
        <v>9</v>
      </c>
      <c r="C235" s="25">
        <f>17663334713/1000000</f>
        <v>17663.334713</v>
      </c>
      <c r="D235" s="25">
        <f>16330730253/1000000</f>
        <v>16330.730253</v>
      </c>
      <c r="E235" s="29">
        <f t="shared" si="10"/>
        <v>1332.6044600000005</v>
      </c>
      <c r="F235" s="28">
        <v>257299</v>
      </c>
    </row>
    <row r="236" spans="1:6" s="16" customFormat="1" x14ac:dyDescent="0.2">
      <c r="B236" s="30" t="s">
        <v>10</v>
      </c>
      <c r="C236" s="25">
        <f>19219141687/1000000</f>
        <v>19219.141686999999</v>
      </c>
      <c r="D236" s="25">
        <f>16828834654/1000000</f>
        <v>16828.834653999998</v>
      </c>
      <c r="E236" s="29">
        <f t="shared" si="10"/>
        <v>2390.307033000001</v>
      </c>
      <c r="F236" s="28">
        <v>261320</v>
      </c>
    </row>
    <row r="237" spans="1:6" s="16" customFormat="1" x14ac:dyDescent="0.2">
      <c r="B237" s="30" t="s">
        <v>11</v>
      </c>
      <c r="C237" s="25">
        <f>18825650957/1000000</f>
        <v>18825.650957000002</v>
      </c>
      <c r="D237" s="25">
        <f>17759446748/1000000</f>
        <v>17759.446747999998</v>
      </c>
      <c r="E237" s="29">
        <f t="shared" si="10"/>
        <v>1066.2042090000032</v>
      </c>
      <c r="F237" s="28">
        <v>275206</v>
      </c>
    </row>
    <row r="238" spans="1:6" s="16" customFormat="1" x14ac:dyDescent="0.2">
      <c r="B238" s="30" t="s">
        <v>12</v>
      </c>
      <c r="C238" s="25">
        <f>18372753965/1000000</f>
        <v>18372.753965</v>
      </c>
      <c r="D238" s="25">
        <f>16552228242/1000000</f>
        <v>16552.228242000001</v>
      </c>
      <c r="E238" s="29">
        <f t="shared" si="10"/>
        <v>1820.5257229999988</v>
      </c>
      <c r="F238" s="28">
        <v>284930</v>
      </c>
    </row>
    <row r="239" spans="1:6" s="16" customFormat="1" x14ac:dyDescent="0.2">
      <c r="B239" s="30" t="s">
        <v>13</v>
      </c>
      <c r="C239" s="25">
        <f>17682590623/1000000</f>
        <v>17682.590623</v>
      </c>
      <c r="D239" s="25">
        <f>17404503366/1000000</f>
        <v>17404.503366000001</v>
      </c>
      <c r="E239" s="29">
        <f t="shared" si="10"/>
        <v>278.08725699999923</v>
      </c>
      <c r="F239" s="28">
        <v>285461</v>
      </c>
    </row>
    <row r="240" spans="1:6" s="16" customFormat="1" x14ac:dyDescent="0.2">
      <c r="B240" s="30" t="s">
        <v>14</v>
      </c>
      <c r="C240" s="25">
        <f>20879294760/1000000</f>
        <v>20879.294760000001</v>
      </c>
      <c r="D240" s="25">
        <f>15575357222/1000000</f>
        <v>15575.357222000001</v>
      </c>
      <c r="E240" s="29">
        <f t="shared" si="10"/>
        <v>5303.9375380000001</v>
      </c>
      <c r="F240" s="28">
        <v>288575</v>
      </c>
    </row>
    <row r="241" spans="1:6" s="16" customFormat="1" x14ac:dyDescent="0.2">
      <c r="A241" s="49" t="s">
        <v>15</v>
      </c>
      <c r="B241" s="50"/>
      <c r="C241" s="14">
        <f>SUM(C229:C240)</f>
        <v>201788.33703499998</v>
      </c>
      <c r="D241" s="14">
        <f>SUM(D229:D240)</f>
        <v>181774.96937799998</v>
      </c>
      <c r="E241" s="14">
        <f>SUM(E229:E240)</f>
        <v>20013.367657000003</v>
      </c>
      <c r="F241" s="15">
        <v>288575</v>
      </c>
    </row>
    <row r="242" spans="1:6" s="16" customFormat="1" x14ac:dyDescent="0.2">
      <c r="A242" s="34">
        <v>2011</v>
      </c>
      <c r="B242" s="24" t="s">
        <v>27</v>
      </c>
      <c r="C242" s="25">
        <f>15207473207/1000000</f>
        <v>15207.473206999999</v>
      </c>
      <c r="D242" s="25">
        <f>14817847436/1000000</f>
        <v>14817.847436</v>
      </c>
      <c r="E242" s="29">
        <f>C242-D242</f>
        <v>389.62577099999908</v>
      </c>
      <c r="F242" s="28">
        <v>297696</v>
      </c>
    </row>
    <row r="243" spans="1:6" s="16" customFormat="1" x14ac:dyDescent="0.2">
      <c r="B243" s="30" t="s">
        <v>4</v>
      </c>
      <c r="C243" s="25">
        <f>16729001375/1000000</f>
        <v>16729.001375</v>
      </c>
      <c r="D243" s="25">
        <f>15546907843/1000000</f>
        <v>15546.907843000001</v>
      </c>
      <c r="E243" s="29">
        <f>C243-D243</f>
        <v>1182.093531999999</v>
      </c>
      <c r="F243" s="28">
        <v>307516</v>
      </c>
    </row>
    <row r="244" spans="1:6" s="16" customFormat="1" x14ac:dyDescent="0.2">
      <c r="B244" s="30" t="s">
        <v>5</v>
      </c>
      <c r="C244" s="25">
        <f>19277222996/1000000</f>
        <v>19277.222996</v>
      </c>
      <c r="D244" s="25">
        <f>17735261594/1000000</f>
        <v>17735.261594</v>
      </c>
      <c r="E244" s="29">
        <f>C244-D244</f>
        <v>1541.9614020000008</v>
      </c>
      <c r="F244" s="28">
        <v>317146</v>
      </c>
    </row>
    <row r="245" spans="1:6" s="16" customFormat="1" x14ac:dyDescent="0.2">
      <c r="B245" s="30" t="s">
        <v>6</v>
      </c>
      <c r="C245" s="25">
        <f>20161945930/1000000</f>
        <v>20161.945930000002</v>
      </c>
      <c r="D245" s="25">
        <f>18317800913/1000000</f>
        <v>18317.800912999999</v>
      </c>
      <c r="E245" s="29">
        <f>C245-D245</f>
        <v>1844.1450170000026</v>
      </c>
      <c r="F245" s="28">
        <v>328062</v>
      </c>
    </row>
    <row r="246" spans="1:6" s="16" customFormat="1" x14ac:dyDescent="0.2">
      <c r="B246" s="30" t="s">
        <v>7</v>
      </c>
      <c r="C246" s="25">
        <f>23199365887/1000000</f>
        <v>23199.365887</v>
      </c>
      <c r="D246" s="25">
        <f>19679803667/1000000</f>
        <v>19679.803667</v>
      </c>
      <c r="E246" s="29">
        <f t="shared" ref="E246" si="11">C246-D246</f>
        <v>3519.5622199999998</v>
      </c>
      <c r="F246" s="28">
        <v>333017</v>
      </c>
    </row>
    <row r="247" spans="1:6" s="16" customFormat="1" x14ac:dyDescent="0.2">
      <c r="B247" s="30" t="s">
        <v>8</v>
      </c>
      <c r="C247" s="25">
        <f>23683910083/1000000</f>
        <v>23683.910082999999</v>
      </c>
      <c r="D247" s="25">
        <f>19251134755/1000000</f>
        <v>19251.134754999999</v>
      </c>
      <c r="E247" s="29">
        <f t="shared" ref="E247:E253" si="12">C247-D247</f>
        <v>4432.7753279999997</v>
      </c>
      <c r="F247" s="28">
        <v>335775</v>
      </c>
    </row>
    <row r="248" spans="1:6" s="16" customFormat="1" x14ac:dyDescent="0.2">
      <c r="B248" s="30" t="s">
        <v>9</v>
      </c>
      <c r="C248" s="25">
        <f>22245125706/1000000</f>
        <v>22245.125705999999</v>
      </c>
      <c r="D248" s="25">
        <f>19110922861/1000000</f>
        <v>19110.922860999999</v>
      </c>
      <c r="E248" s="29">
        <f t="shared" si="12"/>
        <v>3134.2028449999998</v>
      </c>
      <c r="F248" s="28">
        <v>346144</v>
      </c>
    </row>
    <row r="249" spans="1:6" s="16" customFormat="1" x14ac:dyDescent="0.2">
      <c r="B249" s="30" t="s">
        <v>10</v>
      </c>
      <c r="C249" s="25">
        <f>26148242211/1000000</f>
        <v>26148.242211000001</v>
      </c>
      <c r="D249" s="25">
        <f>22261138892/1000000</f>
        <v>22261.138891999999</v>
      </c>
      <c r="E249" s="29">
        <f t="shared" si="12"/>
        <v>3887.1033190000016</v>
      </c>
      <c r="F249" s="28">
        <v>353397</v>
      </c>
    </row>
    <row r="250" spans="1:6" s="16" customFormat="1" x14ac:dyDescent="0.2">
      <c r="B250" s="30" t="s">
        <v>11</v>
      </c>
      <c r="C250" s="25">
        <f>23279896966/1000000</f>
        <v>23279.896966</v>
      </c>
      <c r="D250" s="25">
        <f>20212024456/1000000</f>
        <v>20212.024455999999</v>
      </c>
      <c r="E250" s="29">
        <f t="shared" si="12"/>
        <v>3067.8725100000011</v>
      </c>
      <c r="F250" s="28">
        <v>349708</v>
      </c>
    </row>
    <row r="251" spans="1:6" s="16" customFormat="1" x14ac:dyDescent="0.2">
      <c r="B251" s="30" t="s">
        <v>12</v>
      </c>
      <c r="C251" s="25">
        <f>22120463148/1000000</f>
        <v>22120.463147999999</v>
      </c>
      <c r="D251" s="25">
        <f>19775115640/1000000</f>
        <v>19775.11564</v>
      </c>
      <c r="E251" s="29">
        <f t="shared" si="12"/>
        <v>2345.3475079999989</v>
      </c>
      <c r="F251" s="28">
        <v>352928</v>
      </c>
    </row>
    <row r="252" spans="1:6" s="16" customFormat="1" x14ac:dyDescent="0.2">
      <c r="B252" s="30" t="s">
        <v>13</v>
      </c>
      <c r="C252" s="25">
        <f>21764079481/1000000</f>
        <v>21764.079481000001</v>
      </c>
      <c r="D252" s="25">
        <f>21202832161/1000000</f>
        <v>21202.832160999998</v>
      </c>
      <c r="E252" s="29">
        <f t="shared" si="12"/>
        <v>561.24732000000222</v>
      </c>
      <c r="F252" s="28">
        <v>352073</v>
      </c>
    </row>
    <row r="253" spans="1:6" s="16" customFormat="1" x14ac:dyDescent="0.2">
      <c r="B253" s="30" t="s">
        <v>14</v>
      </c>
      <c r="C253" s="25">
        <f>22119579867/1000000</f>
        <v>22119.579867</v>
      </c>
      <c r="D253" s="25">
        <f>18333431910/1000000</f>
        <v>18333.431909999999</v>
      </c>
      <c r="E253" s="29">
        <f t="shared" si="12"/>
        <v>3786.147957000001</v>
      </c>
      <c r="F253" s="28">
        <v>352012</v>
      </c>
    </row>
    <row r="254" spans="1:6" s="16" customFormat="1" x14ac:dyDescent="0.2">
      <c r="A254" s="49" t="s">
        <v>15</v>
      </c>
      <c r="B254" s="50"/>
      <c r="C254" s="14">
        <f>SUM(C242:C253)</f>
        <v>255936.30685699999</v>
      </c>
      <c r="D254" s="14">
        <f>SUM(D242:D253)</f>
        <v>226244.22212799999</v>
      </c>
      <c r="E254" s="14">
        <f>SUM(E242:E253)</f>
        <v>29692.084729000006</v>
      </c>
      <c r="F254" s="15">
        <v>352012</v>
      </c>
    </row>
    <row r="255" spans="1:6" s="16" customFormat="1" x14ac:dyDescent="0.2">
      <c r="A255" s="34">
        <v>2012</v>
      </c>
      <c r="B255" s="24" t="s">
        <v>27</v>
      </c>
      <c r="C255" s="25">
        <f>16068815622/1000000</f>
        <v>16068.815622</v>
      </c>
      <c r="D255" s="25">
        <f>17447420464/1000000</f>
        <v>17447.420463999999</v>
      </c>
      <c r="E255" s="29">
        <f>C255-D255</f>
        <v>-1378.6048419999988</v>
      </c>
      <c r="F255" s="28">
        <v>355075</v>
      </c>
    </row>
    <row r="256" spans="1:6" s="16" customFormat="1" x14ac:dyDescent="0.2">
      <c r="B256" s="30" t="s">
        <v>4</v>
      </c>
      <c r="C256" s="25">
        <f>17997128340/1000000</f>
        <v>17997.128339999999</v>
      </c>
      <c r="D256" s="25">
        <f>16334451708/1000000</f>
        <v>16334.451708000001</v>
      </c>
      <c r="E256" s="29">
        <f t="shared" ref="E256:E266" si="13">C256-D256</f>
        <v>1662.6766319999988</v>
      </c>
      <c r="F256" s="28">
        <v>356330</v>
      </c>
    </row>
    <row r="257" spans="1:6" s="16" customFormat="1" x14ac:dyDescent="0.2">
      <c r="B257" s="30" t="s">
        <v>5</v>
      </c>
      <c r="C257" s="25">
        <f>20866851083/1000000</f>
        <v>20866.851083000001</v>
      </c>
      <c r="D257" s="25">
        <f>18885646783/1000000</f>
        <v>18885.646783</v>
      </c>
      <c r="E257" s="29">
        <f t="shared" si="13"/>
        <v>1981.2043000000012</v>
      </c>
      <c r="F257" s="28">
        <v>365216</v>
      </c>
    </row>
    <row r="258" spans="1:6" s="16" customFormat="1" x14ac:dyDescent="0.2">
      <c r="B258" s="30" t="s">
        <v>6</v>
      </c>
      <c r="C258" s="25">
        <f>19549415067/1000000</f>
        <v>19549.415067000002</v>
      </c>
      <c r="D258" s="25">
        <f>18699061373/1000000</f>
        <v>18699.061373</v>
      </c>
      <c r="E258" s="29">
        <f t="shared" si="13"/>
        <v>850.35369400000127</v>
      </c>
      <c r="F258" s="28">
        <v>374272</v>
      </c>
    </row>
    <row r="259" spans="1:6" s="16" customFormat="1" x14ac:dyDescent="0.2">
      <c r="B259" s="30" t="s">
        <v>7</v>
      </c>
      <c r="C259" s="25">
        <f>23201280483/1000000</f>
        <v>23201.280482999999</v>
      </c>
      <c r="D259" s="25">
        <f>20264119322/1000000</f>
        <v>20264.119321999999</v>
      </c>
      <c r="E259" s="29">
        <f t="shared" si="13"/>
        <v>2937.161161</v>
      </c>
      <c r="F259" s="28">
        <v>372409</v>
      </c>
    </row>
    <row r="260" spans="1:6" s="16" customFormat="1" x14ac:dyDescent="0.2">
      <c r="B260" s="30" t="s">
        <v>8</v>
      </c>
      <c r="C260" s="25">
        <f>19340965719/1000000</f>
        <v>19340.965719</v>
      </c>
      <c r="D260" s="25">
        <f>18555490041/1000000</f>
        <v>18555.490041000001</v>
      </c>
      <c r="E260" s="29">
        <f t="shared" si="13"/>
        <v>785.47567799999888</v>
      </c>
      <c r="F260" s="28">
        <v>373910</v>
      </c>
    </row>
    <row r="261" spans="1:6" s="16" customFormat="1" x14ac:dyDescent="0.2">
      <c r="B261" s="30" t="s">
        <v>9</v>
      </c>
      <c r="C261" s="25">
        <f>20982632833/1000000</f>
        <v>20982.632833</v>
      </c>
      <c r="D261" s="25">
        <f>18139149673/1000000</f>
        <v>18139.149673</v>
      </c>
      <c r="E261" s="29">
        <f t="shared" si="13"/>
        <v>2843.4831599999998</v>
      </c>
      <c r="F261" s="28">
        <v>376154</v>
      </c>
    </row>
    <row r="262" spans="1:6" s="16" customFormat="1" x14ac:dyDescent="0.2">
      <c r="B262" s="30" t="s">
        <v>10</v>
      </c>
      <c r="C262" s="25">
        <f>22366137466/1000000</f>
        <v>22366.137466</v>
      </c>
      <c r="D262" s="25">
        <f>19159157629/1000000</f>
        <v>19159.157629000001</v>
      </c>
      <c r="E262" s="29">
        <f t="shared" si="13"/>
        <v>3206.979836999999</v>
      </c>
      <c r="F262" s="28">
        <v>377221</v>
      </c>
    </row>
    <row r="263" spans="1:6" s="16" customFormat="1" x14ac:dyDescent="0.2">
      <c r="B263" s="30" t="s">
        <v>11</v>
      </c>
      <c r="C263" s="25">
        <f>19974692566/1000000</f>
        <v>19974.692566000002</v>
      </c>
      <c r="D263" s="25">
        <f>17452583093/1000000</f>
        <v>17452.583093000001</v>
      </c>
      <c r="E263" s="29">
        <f t="shared" si="13"/>
        <v>2522.1094730000004</v>
      </c>
      <c r="F263" s="28">
        <v>378726</v>
      </c>
    </row>
    <row r="264" spans="1:6" s="16" customFormat="1" x14ac:dyDescent="0.2">
      <c r="B264" s="30" t="s">
        <v>12</v>
      </c>
      <c r="C264" s="25">
        <f>21724735819/1000000</f>
        <v>21724.735819000001</v>
      </c>
      <c r="D264" s="25">
        <f>20245123808/1000000</f>
        <v>20245.123808</v>
      </c>
      <c r="E264" s="29">
        <f t="shared" si="13"/>
        <v>1479.6120110000011</v>
      </c>
      <c r="F264" s="28">
        <v>377753</v>
      </c>
    </row>
    <row r="265" spans="1:6" s="16" customFormat="1" x14ac:dyDescent="0.2">
      <c r="B265" s="30" t="s">
        <v>13</v>
      </c>
      <c r="C265" s="25">
        <f>20467330620/1000000</f>
        <v>20467.330620000001</v>
      </c>
      <c r="D265" s="25">
        <f>20673385449/1000000</f>
        <v>20673.385449000001</v>
      </c>
      <c r="E265" s="29">
        <f t="shared" si="13"/>
        <v>-206.05482900000061</v>
      </c>
      <c r="F265" s="28">
        <v>378560</v>
      </c>
    </row>
    <row r="266" spans="1:6" s="16" customFormat="1" x14ac:dyDescent="0.2">
      <c r="B266" s="30" t="s">
        <v>14</v>
      </c>
      <c r="C266" s="25">
        <f>19737321572/1000000</f>
        <v>19737.321572000001</v>
      </c>
      <c r="D266" s="25">
        <f>17511131680/1000000</f>
        <v>17511.131679999999</v>
      </c>
      <c r="E266" s="29">
        <f t="shared" si="13"/>
        <v>2226.1898920000021</v>
      </c>
      <c r="F266" s="28">
        <v>373147</v>
      </c>
    </row>
    <row r="267" spans="1:6" s="16" customFormat="1" x14ac:dyDescent="0.2">
      <c r="A267" s="49" t="s">
        <v>15</v>
      </c>
      <c r="B267" s="50"/>
      <c r="C267" s="14">
        <f>SUM(C255:C266)</f>
        <v>242277.30718999996</v>
      </c>
      <c r="D267" s="14">
        <f>SUM(D255:D266)</f>
        <v>223366.72102299999</v>
      </c>
      <c r="E267" s="14">
        <f>SUM(E255:E266)</f>
        <v>18910.586167000001</v>
      </c>
      <c r="F267" s="15">
        <f>F266</f>
        <v>373147</v>
      </c>
    </row>
    <row r="268" spans="1:6" s="16" customFormat="1" x14ac:dyDescent="0.2">
      <c r="A268" s="34">
        <v>2013</v>
      </c>
      <c r="B268" s="24" t="s">
        <v>27</v>
      </c>
      <c r="C268" s="25">
        <f>15961542921/1000000</f>
        <v>15961.542921</v>
      </c>
      <c r="D268" s="25">
        <f>20013308539/1000000</f>
        <v>20013.308539000001</v>
      </c>
      <c r="E268" s="29">
        <f t="shared" ref="E268:E279" si="14">C268-D268</f>
        <v>-4051.7656180000013</v>
      </c>
      <c r="F268" s="28">
        <v>373417</v>
      </c>
    </row>
    <row r="269" spans="1:6" s="16" customFormat="1" x14ac:dyDescent="0.2">
      <c r="B269" s="30" t="s">
        <v>4</v>
      </c>
      <c r="C269" s="25">
        <f>15543267737/1000000</f>
        <v>15543.267737</v>
      </c>
      <c r="D269" s="25">
        <f>16834341142/1000000</f>
        <v>16834.341142000001</v>
      </c>
      <c r="E269" s="29">
        <f t="shared" si="14"/>
        <v>-1291.073405000001</v>
      </c>
      <c r="F269" s="28">
        <v>373742</v>
      </c>
    </row>
    <row r="270" spans="1:6" s="16" customFormat="1" x14ac:dyDescent="0.2">
      <c r="B270" s="30" t="s">
        <v>5</v>
      </c>
      <c r="C270" s="25">
        <f>19308488676/1000000</f>
        <v>19308.488676000001</v>
      </c>
      <c r="D270" s="25">
        <f>19138599304/1000000</f>
        <v>19138.599303999999</v>
      </c>
      <c r="E270" s="29">
        <f t="shared" si="14"/>
        <v>169.88937200000146</v>
      </c>
      <c r="F270" s="28">
        <v>376934</v>
      </c>
    </row>
    <row r="271" spans="1:6" s="16" customFormat="1" x14ac:dyDescent="0.2">
      <c r="B271" s="30" t="s">
        <v>6</v>
      </c>
      <c r="C271" s="25">
        <f>20627048032/1000000</f>
        <v>20627.048031999999</v>
      </c>
      <c r="D271" s="25">
        <f>21630002883/1000000</f>
        <v>21630.002883000001</v>
      </c>
      <c r="E271" s="29">
        <f t="shared" si="14"/>
        <v>-1002.9548510000022</v>
      </c>
      <c r="F271" s="28">
        <v>378665</v>
      </c>
    </row>
    <row r="272" spans="1:6" s="16" customFormat="1" x14ac:dyDescent="0.2">
      <c r="B272" s="30" t="s">
        <v>7</v>
      </c>
      <c r="C272" s="25">
        <f>21819448969/1000000</f>
        <v>21819.448969000001</v>
      </c>
      <c r="D272" s="25">
        <f>21048222939/1000000</f>
        <v>21048.222938999999</v>
      </c>
      <c r="E272" s="29">
        <f t="shared" si="14"/>
        <v>771.22603000000163</v>
      </c>
      <c r="F272" s="28">
        <v>374417</v>
      </c>
    </row>
    <row r="273" spans="1:6" s="16" customFormat="1" x14ac:dyDescent="0.2">
      <c r="B273" s="30" t="s">
        <v>8</v>
      </c>
      <c r="C273" s="25">
        <f>21126804222/1000000</f>
        <v>21126.804221999999</v>
      </c>
      <c r="D273" s="25">
        <f>18830624180/1000000</f>
        <v>18830.624179999999</v>
      </c>
      <c r="E273" s="29">
        <f t="shared" si="14"/>
        <v>2296.180042</v>
      </c>
      <c r="F273" s="28">
        <v>369402</v>
      </c>
    </row>
    <row r="274" spans="1:6" s="16" customFormat="1" x14ac:dyDescent="0.2">
      <c r="B274" s="30" t="s">
        <v>9</v>
      </c>
      <c r="C274" s="25">
        <f>20800950742/1000000</f>
        <v>20800.950742000001</v>
      </c>
      <c r="D274" s="25">
        <f>22712863189/1000000</f>
        <v>22712.863189</v>
      </c>
      <c r="E274" s="29">
        <f t="shared" si="14"/>
        <v>-1911.9124469999988</v>
      </c>
      <c r="F274" s="28">
        <v>371966</v>
      </c>
    </row>
    <row r="275" spans="1:6" s="16" customFormat="1" x14ac:dyDescent="0.2">
      <c r="B275" s="30" t="s">
        <v>10</v>
      </c>
      <c r="C275" s="25">
        <f>21421598606/1000000</f>
        <v>21421.598606</v>
      </c>
      <c r="D275" s="25">
        <f>20208165119/1000000</f>
        <v>20208.165119000001</v>
      </c>
      <c r="E275" s="29">
        <f t="shared" si="14"/>
        <v>1213.4334869999984</v>
      </c>
      <c r="F275" s="28">
        <v>367002</v>
      </c>
    </row>
    <row r="276" spans="1:6" s="16" customFormat="1" x14ac:dyDescent="0.2">
      <c r="B276" s="30" t="s">
        <v>11</v>
      </c>
      <c r="C276" s="25">
        <f>20844808826/1000000</f>
        <v>20844.808826</v>
      </c>
      <c r="D276" s="25">
        <f>18881649681/1000000</f>
        <v>18881.649680999999</v>
      </c>
      <c r="E276" s="29">
        <f t="shared" si="14"/>
        <v>1963.1591450000014</v>
      </c>
      <c r="F276" s="28">
        <v>368654</v>
      </c>
    </row>
    <row r="277" spans="1:6" s="16" customFormat="1" x14ac:dyDescent="0.2">
      <c r="B277" s="30" t="s">
        <v>12</v>
      </c>
      <c r="C277" s="25">
        <f>22817525747/1000000</f>
        <v>22817.525747</v>
      </c>
      <c r="D277" s="25">
        <f>23049601170/1000000</f>
        <v>23049.601170000002</v>
      </c>
      <c r="E277" s="29">
        <f t="shared" si="14"/>
        <v>-232.07542300000205</v>
      </c>
      <c r="F277" s="28">
        <v>364505</v>
      </c>
    </row>
    <row r="278" spans="1:6" s="16" customFormat="1" x14ac:dyDescent="0.2">
      <c r="B278" s="30" t="s">
        <v>13</v>
      </c>
      <c r="C278" s="25">
        <f>20854356184/1000000</f>
        <v>20854.356184</v>
      </c>
      <c r="D278" s="25">
        <f>19129391971/1000000</f>
        <v>19129.391971000001</v>
      </c>
      <c r="E278" s="29">
        <f t="shared" si="14"/>
        <v>1724.9642129999993</v>
      </c>
      <c r="F278" s="28">
        <v>362410</v>
      </c>
    </row>
    <row r="279" spans="1:6" s="16" customFormat="1" x14ac:dyDescent="0.2">
      <c r="B279" s="30" t="s">
        <v>14</v>
      </c>
      <c r="C279" s="25">
        <f>20841721097/1000000</f>
        <v>20841.721097000001</v>
      </c>
      <c r="D279" s="25">
        <f>18204461518/1000000</f>
        <v>18204.461518</v>
      </c>
      <c r="E279" s="29">
        <f t="shared" si="14"/>
        <v>2637.2595790000014</v>
      </c>
      <c r="F279" s="28">
        <v>358808</v>
      </c>
    </row>
    <row r="280" spans="1:6" s="16" customFormat="1" x14ac:dyDescent="0.2">
      <c r="A280" s="49" t="s">
        <v>15</v>
      </c>
      <c r="B280" s="50"/>
      <c r="C280" s="14">
        <f>SUM(C268:C279)</f>
        <v>241967.561759</v>
      </c>
      <c r="D280" s="14">
        <f>SUM(D268:D279)</f>
        <v>239681.23163500003</v>
      </c>
      <c r="E280" s="14">
        <f>SUM(E268:E279)</f>
        <v>2286.3301239999982</v>
      </c>
      <c r="F280" s="15">
        <v>358808</v>
      </c>
    </row>
    <row r="281" spans="1:6" s="1" customFormat="1" x14ac:dyDescent="0.2">
      <c r="A281" s="34">
        <v>2014</v>
      </c>
      <c r="B281" s="24" t="s">
        <v>27</v>
      </c>
      <c r="C281" s="25">
        <f>16022007486/1000000</f>
        <v>16022.007486</v>
      </c>
      <c r="D281" s="25">
        <f>20090904406/1000000</f>
        <v>20090.904406000001</v>
      </c>
      <c r="E281" s="29">
        <f t="shared" ref="E281:E292" si="15">C281-D281</f>
        <v>-4068.896920000001</v>
      </c>
      <c r="F281" s="28">
        <v>360936</v>
      </c>
    </row>
    <row r="282" spans="1:6" s="1" customFormat="1" x14ac:dyDescent="0.2">
      <c r="A282" s="16"/>
      <c r="B282" s="30" t="s">
        <v>4</v>
      </c>
      <c r="C282" s="25">
        <f>15927730957/1000000</f>
        <v>15927.730957</v>
      </c>
      <c r="D282" s="25">
        <f>18061415737/1000000</f>
        <v>18061.415736999999</v>
      </c>
      <c r="E282" s="29">
        <f t="shared" si="15"/>
        <v>-2133.6847799999996</v>
      </c>
      <c r="F282" s="28">
        <v>362691</v>
      </c>
    </row>
    <row r="283" spans="1:6" s="1" customFormat="1" x14ac:dyDescent="0.2">
      <c r="A283" s="16"/>
      <c r="B283" s="30" t="s">
        <v>5</v>
      </c>
      <c r="C283" s="25">
        <f>17616147895/1000000</f>
        <v>17616.147894999998</v>
      </c>
      <c r="D283" s="25">
        <f>17508716522/1000000</f>
        <v>17508.716521999999</v>
      </c>
      <c r="E283" s="29">
        <f t="shared" si="15"/>
        <v>107.43137299999944</v>
      </c>
      <c r="F283" s="28">
        <v>363914</v>
      </c>
    </row>
    <row r="284" spans="1:6" s="1" customFormat="1" x14ac:dyDescent="0.2">
      <c r="A284" s="16"/>
      <c r="B284" s="30" t="s">
        <v>6</v>
      </c>
      <c r="C284" s="25">
        <f>19720508764/1000000</f>
        <v>19720.508763999998</v>
      </c>
      <c r="D284" s="25">
        <f>19213175305/1000000</f>
        <v>19213.175305000001</v>
      </c>
      <c r="E284" s="29">
        <f t="shared" si="15"/>
        <v>507.33345899999767</v>
      </c>
      <c r="F284" s="28">
        <v>366717</v>
      </c>
    </row>
    <row r="285" spans="1:6" s="1" customFormat="1" x14ac:dyDescent="0.2">
      <c r="A285" s="16"/>
      <c r="B285" s="30" t="s">
        <v>7</v>
      </c>
      <c r="C285" s="25">
        <f>20747454107/1000000</f>
        <v>20747.454107000001</v>
      </c>
      <c r="D285" s="25">
        <f>20041159100/1000000</f>
        <v>20041.159100000001</v>
      </c>
      <c r="E285" s="29">
        <f t="shared" si="15"/>
        <v>706.29500700000062</v>
      </c>
      <c r="F285" s="28">
        <v>368752</v>
      </c>
    </row>
    <row r="286" spans="1:6" s="1" customFormat="1" x14ac:dyDescent="0.2">
      <c r="A286" s="16"/>
      <c r="B286" s="30" t="s">
        <v>8</v>
      </c>
      <c r="C286" s="25">
        <f>20461913631/1000000</f>
        <v>20461.913630999999</v>
      </c>
      <c r="D286" s="25">
        <f>18119252149/1000000</f>
        <v>18119.252149</v>
      </c>
      <c r="E286" s="29">
        <f t="shared" si="15"/>
        <v>2342.6614819999995</v>
      </c>
      <c r="F286" s="28">
        <v>373516</v>
      </c>
    </row>
    <row r="287" spans="1:6" s="1" customFormat="1" x14ac:dyDescent="0.2">
      <c r="A287" s="16"/>
      <c r="B287" s="30" t="s">
        <v>9</v>
      </c>
      <c r="C287" s="25">
        <f>23020904817/1000000</f>
        <v>23020.904816999999</v>
      </c>
      <c r="D287" s="25">
        <f>21458551946/1000000</f>
        <v>21458.551946</v>
      </c>
      <c r="E287" s="29">
        <f t="shared" si="15"/>
        <v>1562.3528709999991</v>
      </c>
      <c r="F287" s="28">
        <v>376792</v>
      </c>
    </row>
    <row r="288" spans="1:6" s="1" customFormat="1" x14ac:dyDescent="0.2">
      <c r="A288" s="16"/>
      <c r="B288" s="30" t="s">
        <v>10</v>
      </c>
      <c r="C288" s="25">
        <f>20460237817/1000000</f>
        <v>20460.237817000001</v>
      </c>
      <c r="D288" s="25">
        <f>19302292833/1000000</f>
        <v>19302.292833</v>
      </c>
      <c r="E288" s="29">
        <f t="shared" si="15"/>
        <v>1157.9449840000016</v>
      </c>
      <c r="F288" s="28">
        <v>379157</v>
      </c>
    </row>
    <row r="289" spans="1:6" s="1" customFormat="1" x14ac:dyDescent="0.2">
      <c r="A289" s="16"/>
      <c r="B289" s="30" t="s">
        <v>11</v>
      </c>
      <c r="C289" s="25">
        <f>19612975989/1000000</f>
        <v>19612.975988999999</v>
      </c>
      <c r="D289" s="25">
        <f>20559338566/1000000</f>
        <v>20559.338565999999</v>
      </c>
      <c r="E289" s="29">
        <f t="shared" si="15"/>
        <v>-946.36257699999987</v>
      </c>
      <c r="F289" s="28">
        <v>375513</v>
      </c>
    </row>
    <row r="290" spans="1:6" s="1" customFormat="1" x14ac:dyDescent="0.2">
      <c r="A290" s="16"/>
      <c r="B290" s="30" t="s">
        <v>12</v>
      </c>
      <c r="C290" s="25">
        <f>18321183349/1000000</f>
        <v>18321.183348999999</v>
      </c>
      <c r="D290" s="25">
        <f>19509541940/1000000</f>
        <v>19509.541939999999</v>
      </c>
      <c r="E290" s="29">
        <f t="shared" si="15"/>
        <v>-1188.3585910000002</v>
      </c>
      <c r="F290" s="28">
        <v>375833</v>
      </c>
    </row>
    <row r="291" spans="1:6" s="1" customFormat="1" x14ac:dyDescent="0.2">
      <c r="A291" s="16"/>
      <c r="B291" s="30" t="s">
        <v>13</v>
      </c>
      <c r="C291" s="25">
        <f>15640378217/1000000</f>
        <v>15640.378216999999</v>
      </c>
      <c r="D291" s="25">
        <f>18072035599/1000000</f>
        <v>18072.035598999999</v>
      </c>
      <c r="E291" s="29">
        <f t="shared" si="15"/>
        <v>-2431.6573819999994</v>
      </c>
      <c r="F291" s="28">
        <v>375426</v>
      </c>
    </row>
    <row r="292" spans="1:6" s="1" customFormat="1" x14ac:dyDescent="0.2">
      <c r="A292" s="16"/>
      <c r="B292" s="30" t="s">
        <v>14</v>
      </c>
      <c r="C292" s="25">
        <f>17422958199/1000000</f>
        <v>17422.958199000001</v>
      </c>
      <c r="D292" s="25">
        <f>17191459211/1000000</f>
        <v>17191.459211000001</v>
      </c>
      <c r="E292" s="29">
        <f t="shared" si="15"/>
        <v>231.49898799999937</v>
      </c>
      <c r="F292" s="28">
        <v>363551</v>
      </c>
    </row>
    <row r="293" spans="1:6" s="1" customFormat="1" x14ac:dyDescent="0.2">
      <c r="A293" s="49" t="s">
        <v>15</v>
      </c>
      <c r="B293" s="50"/>
      <c r="C293" s="14">
        <f>SUM(C281:C292)</f>
        <v>224974.40122799994</v>
      </c>
      <c r="D293" s="14">
        <f>SUM(D281:D292)</f>
        <v>229127.84331399997</v>
      </c>
      <c r="E293" s="14">
        <f>SUM(E281:E292)</f>
        <v>-4153.4420860000027</v>
      </c>
      <c r="F293" s="15">
        <v>363551</v>
      </c>
    </row>
    <row r="294" spans="1:6" s="1" customFormat="1" ht="13.5" customHeight="1" x14ac:dyDescent="0.2">
      <c r="A294" s="34">
        <v>2015</v>
      </c>
      <c r="B294" s="24" t="s">
        <v>27</v>
      </c>
      <c r="C294" s="25">
        <f>13685539814/1000000</f>
        <v>13685.539814</v>
      </c>
      <c r="D294" s="25">
        <f>16870914361/1000000</f>
        <v>16870.914360999999</v>
      </c>
      <c r="E294" s="29">
        <f>C294-D294</f>
        <v>-3185.3745469999994</v>
      </c>
      <c r="F294" s="28">
        <v>361767</v>
      </c>
    </row>
    <row r="295" spans="1:6" s="1" customFormat="1" x14ac:dyDescent="0.2">
      <c r="A295" s="16"/>
      <c r="B295" s="24" t="s">
        <v>4</v>
      </c>
      <c r="C295" s="25">
        <f>12085854219/1000000</f>
        <v>12085.854219000001</v>
      </c>
      <c r="D295" s="25">
        <f>14933060657/1000000</f>
        <v>14933.060657</v>
      </c>
      <c r="E295" s="29">
        <f>C295-D295</f>
        <v>-2847.2064379999993</v>
      </c>
      <c r="F295" s="28">
        <v>362547</v>
      </c>
    </row>
    <row r="296" spans="1:6" s="1" customFormat="1" x14ac:dyDescent="0.2">
      <c r="A296" s="16"/>
      <c r="B296" s="24" t="s">
        <v>5</v>
      </c>
      <c r="C296" s="25">
        <f>16974582658/1000000</f>
        <v>16974.582657999999</v>
      </c>
      <c r="D296" s="25">
        <f>16519082042/1000000</f>
        <v>16519.082041999998</v>
      </c>
      <c r="E296" s="29">
        <f>C296-D296</f>
        <v>455.50061600000117</v>
      </c>
      <c r="F296" s="28">
        <v>362744</v>
      </c>
    </row>
    <row r="297" spans="1:6" s="1" customFormat="1" x14ac:dyDescent="0.2">
      <c r="A297" s="16"/>
      <c r="B297" s="24" t="s">
        <v>6</v>
      </c>
      <c r="C297" s="25">
        <f>15146671341/1000000</f>
        <v>15146.671340999999</v>
      </c>
      <c r="D297" s="25">
        <f>14664925803/1000000</f>
        <v>14664.925803</v>
      </c>
      <c r="E297" s="29">
        <f>C297-D297</f>
        <v>481.74553799999921</v>
      </c>
      <c r="F297" s="28">
        <v>364473</v>
      </c>
    </row>
    <row r="298" spans="1:6" s="1" customFormat="1" x14ac:dyDescent="0.2">
      <c r="A298" s="16"/>
      <c r="B298" s="24" t="s">
        <v>7</v>
      </c>
      <c r="C298" s="25">
        <f>16763260821/1000000</f>
        <v>16763.260821</v>
      </c>
      <c r="D298" s="25">
        <f>14011848151/1000000</f>
        <v>14011.848151</v>
      </c>
      <c r="E298" s="29">
        <f>C298-D298</f>
        <v>2751.4126699999997</v>
      </c>
      <c r="F298" s="28">
        <v>366647</v>
      </c>
    </row>
    <row r="299" spans="1:6" s="1" customFormat="1" x14ac:dyDescent="0.2">
      <c r="A299" s="16"/>
      <c r="B299" s="24" t="s">
        <v>8</v>
      </c>
      <c r="C299" s="25">
        <f>19618414393/1000000</f>
        <v>19618.414392999999</v>
      </c>
      <c r="D299" s="25">
        <f>15100239873/1000000</f>
        <v>15100.239873</v>
      </c>
      <c r="E299" s="29">
        <f t="shared" ref="E299:E301" si="16">C299-D299</f>
        <v>4518.1745199999987</v>
      </c>
      <c r="F299" s="28">
        <v>368668</v>
      </c>
    </row>
    <row r="300" spans="1:6" s="1" customFormat="1" x14ac:dyDescent="0.2">
      <c r="A300" s="16"/>
      <c r="B300" s="24" t="s">
        <v>9</v>
      </c>
      <c r="C300" s="25">
        <f>18530260092/1000000</f>
        <v>18530.260092</v>
      </c>
      <c r="D300" s="25">
        <f>16137780935/1000000</f>
        <v>16137.780935000001</v>
      </c>
      <c r="E300" s="29">
        <f>C300-D300</f>
        <v>2392.4791569999998</v>
      </c>
      <c r="F300" s="28">
        <v>368252</v>
      </c>
    </row>
    <row r="301" spans="1:6" s="1" customFormat="1" x14ac:dyDescent="0.2">
      <c r="A301" s="16"/>
      <c r="B301" s="24" t="s">
        <v>10</v>
      </c>
      <c r="C301" s="25">
        <f>15479260926/1000000</f>
        <v>15479.260926000001</v>
      </c>
      <c r="D301" s="48">
        <f>12793930239/1000000</f>
        <v>12793.930238999999</v>
      </c>
      <c r="E301" s="29">
        <f t="shared" si="16"/>
        <v>2685.3306870000015</v>
      </c>
      <c r="F301" s="28">
        <v>368159</v>
      </c>
    </row>
    <row r="302" spans="1:6" s="1" customFormat="1" x14ac:dyDescent="0.2">
      <c r="A302" s="16"/>
      <c r="B302" s="24" t="s">
        <v>11</v>
      </c>
      <c r="C302" s="25">
        <f>16121955297/1000000</f>
        <v>16121.955297</v>
      </c>
      <c r="D302" s="25">
        <f>13198695562/1000000</f>
        <v>13198.695562000001</v>
      </c>
      <c r="E302" s="29">
        <f>C302-D302</f>
        <v>2923.2597349999996</v>
      </c>
      <c r="F302" s="28">
        <v>361370</v>
      </c>
    </row>
    <row r="303" spans="1:6" s="1" customFormat="1" x14ac:dyDescent="0.2">
      <c r="A303" s="16"/>
      <c r="B303" s="24" t="s">
        <v>12</v>
      </c>
      <c r="C303" s="25">
        <f>16004721968/1000000</f>
        <v>16004.721968</v>
      </c>
      <c r="D303" s="25">
        <f>14053830493/1000000</f>
        <v>14053.830492999999</v>
      </c>
      <c r="E303" s="29">
        <f>C303-D303</f>
        <v>1950.8914750000004</v>
      </c>
      <c r="F303" s="28">
        <v>361230</v>
      </c>
    </row>
    <row r="304" spans="1:6" s="1" customFormat="1" x14ac:dyDescent="0.2">
      <c r="A304" s="16"/>
      <c r="B304" s="24" t="s">
        <v>13</v>
      </c>
      <c r="C304" s="25">
        <f>13784326015/1000000</f>
        <v>13784.326015000001</v>
      </c>
      <c r="D304" s="25">
        <f>12607215707/1000000</f>
        <v>12607.215706999999</v>
      </c>
      <c r="E304" s="29">
        <f>C304-D304</f>
        <v>1177.1103080000012</v>
      </c>
      <c r="F304" s="28">
        <v>357016</v>
      </c>
    </row>
    <row r="305" spans="1:6" s="1" customFormat="1" x14ac:dyDescent="0.2">
      <c r="A305" s="16"/>
      <c r="B305" s="24" t="s">
        <v>14</v>
      </c>
      <c r="C305" s="25">
        <f>16776239795/1000000</f>
        <v>16776.239795000001</v>
      </c>
      <c r="D305" s="25">
        <f>10567475936/1000000</f>
        <v>10567.475936000001</v>
      </c>
      <c r="E305" s="29">
        <f>C305-D305</f>
        <v>6208.7638590000006</v>
      </c>
      <c r="F305" s="28">
        <v>356464</v>
      </c>
    </row>
    <row r="306" spans="1:6" s="1" customFormat="1" x14ac:dyDescent="0.2">
      <c r="A306" s="49" t="s">
        <v>15</v>
      </c>
      <c r="B306" s="50"/>
      <c r="C306" s="14">
        <f>SUM(C294:C305)</f>
        <v>190971.08733899999</v>
      </c>
      <c r="D306" s="14">
        <f>SUM(D294:D305)</f>
        <v>171458.99975899997</v>
      </c>
      <c r="E306" s="14">
        <f>SUM(E294:E305)</f>
        <v>19512.087580000003</v>
      </c>
      <c r="F306" s="15">
        <v>356464</v>
      </c>
    </row>
    <row r="307" spans="1:6" s="40" customFormat="1" x14ac:dyDescent="0.2">
      <c r="A307" s="34" t="s">
        <v>29</v>
      </c>
      <c r="B307" s="41" t="s">
        <v>27</v>
      </c>
      <c r="C307" s="25">
        <f>11237671888/1000000</f>
        <v>11237.671888000001</v>
      </c>
      <c r="D307" s="25">
        <f>10322817689/1000000</f>
        <v>10322.817689</v>
      </c>
      <c r="E307" s="43">
        <f t="shared" ref="E307:E318" si="17">C307-D307</f>
        <v>914.85419900000124</v>
      </c>
      <c r="F307" s="44">
        <v>357507</v>
      </c>
    </row>
    <row r="308" spans="1:6" s="40" customFormat="1" x14ac:dyDescent="0.2">
      <c r="A308" s="16"/>
      <c r="B308" s="24" t="s">
        <v>4</v>
      </c>
      <c r="C308" s="25">
        <f>13342657735/1000000</f>
        <v>13342.657735000001</v>
      </c>
      <c r="D308" s="25">
        <f>10310002857/1000000</f>
        <v>10310.002856999999</v>
      </c>
      <c r="E308" s="45">
        <f t="shared" si="17"/>
        <v>3032.6548780000012</v>
      </c>
      <c r="F308" s="46">
        <v>359368</v>
      </c>
    </row>
    <row r="309" spans="1:6" s="40" customFormat="1" x14ac:dyDescent="0.2">
      <c r="A309" s="16"/>
      <c r="B309" s="24" t="s">
        <v>5</v>
      </c>
      <c r="C309" s="25">
        <f>15991515695/1000000</f>
        <v>15991.515695</v>
      </c>
      <c r="D309" s="25">
        <f>11560680865/1000000</f>
        <v>11560.680865</v>
      </c>
      <c r="E309" s="45">
        <f t="shared" si="17"/>
        <v>4430.8348299999998</v>
      </c>
      <c r="F309" s="46">
        <v>357698</v>
      </c>
    </row>
    <row r="310" spans="1:6" s="40" customFormat="1" x14ac:dyDescent="0.2">
      <c r="A310" s="16"/>
      <c r="B310" s="24" t="s">
        <v>6</v>
      </c>
      <c r="C310" s="25">
        <f>15371702452/1000000</f>
        <v>15371.702452</v>
      </c>
      <c r="D310" s="25">
        <f>10510187072/1000000</f>
        <v>10510.187072000001</v>
      </c>
      <c r="E310" s="45">
        <f t="shared" si="17"/>
        <v>4861.5153799999989</v>
      </c>
      <c r="F310" s="46">
        <v>362201</v>
      </c>
    </row>
    <row r="311" spans="1:6" s="40" customFormat="1" x14ac:dyDescent="0.2">
      <c r="A311" s="16"/>
      <c r="B311" s="24" t="s">
        <v>7</v>
      </c>
      <c r="C311" s="25">
        <f>17568728661/1000000</f>
        <v>17568.728661000001</v>
      </c>
      <c r="D311" s="25">
        <f>11138188323/1000000</f>
        <v>11138.188323</v>
      </c>
      <c r="E311" s="45">
        <f t="shared" si="17"/>
        <v>6430.5403380000007</v>
      </c>
      <c r="F311" s="46">
        <v>363447</v>
      </c>
    </row>
    <row r="312" spans="1:6" s="40" customFormat="1" x14ac:dyDescent="0.2">
      <c r="A312" s="16"/>
      <c r="B312" s="24" t="s">
        <v>8</v>
      </c>
      <c r="C312" s="25">
        <f>16737988800/1000000</f>
        <v>16737.988799999999</v>
      </c>
      <c r="D312" s="25">
        <f>12771343238/1000000</f>
        <v>12771.343237999999</v>
      </c>
      <c r="E312" s="45">
        <f t="shared" si="17"/>
        <v>3966.6455619999997</v>
      </c>
      <c r="F312" s="46">
        <v>364152</v>
      </c>
    </row>
    <row r="313" spans="1:6" s="40" customFormat="1" x14ac:dyDescent="0.2">
      <c r="A313" s="16"/>
      <c r="B313" s="24" t="s">
        <v>9</v>
      </c>
      <c r="C313" s="25">
        <f>16327912914/1000000</f>
        <v>16327.912914</v>
      </c>
      <c r="D313" s="25">
        <f>11753856964/1000000</f>
        <v>11753.856964000001</v>
      </c>
      <c r="E313" s="45">
        <f t="shared" si="17"/>
        <v>4574.0559499999999</v>
      </c>
      <c r="F313" s="46">
        <v>369340</v>
      </c>
    </row>
    <row r="314" spans="1:6" s="40" customFormat="1" x14ac:dyDescent="0.2">
      <c r="A314" s="16"/>
      <c r="B314" s="24" t="s">
        <v>10</v>
      </c>
      <c r="C314" s="25">
        <f>16982986270/1000000</f>
        <v>16982.986270000001</v>
      </c>
      <c r="D314" s="25">
        <f>12849081694/1000000</f>
        <v>12849.081694</v>
      </c>
      <c r="E314" s="45">
        <f t="shared" si="17"/>
        <v>4133.9045760000008</v>
      </c>
      <c r="F314" s="46">
        <v>369541</v>
      </c>
    </row>
    <row r="315" spans="1:6" s="40" customFormat="1" x14ac:dyDescent="0.2">
      <c r="A315" s="16"/>
      <c r="B315" s="24" t="s">
        <v>11</v>
      </c>
      <c r="C315" s="25">
        <f>15800010272/1000000</f>
        <v>15800.010272</v>
      </c>
      <c r="D315" s="25">
        <f>11994668595/1000000</f>
        <v>11994.668594999999</v>
      </c>
      <c r="E315" s="45">
        <f t="shared" si="17"/>
        <v>3805.3416770000003</v>
      </c>
      <c r="F315" s="46">
        <v>370417</v>
      </c>
    </row>
    <row r="316" spans="1:6" s="40" customFormat="1" x14ac:dyDescent="0.2">
      <c r="A316" s="16"/>
      <c r="B316" s="24" t="s">
        <v>12</v>
      </c>
      <c r="C316" s="25">
        <f>13715472582/1000000</f>
        <v>13715.472582</v>
      </c>
      <c r="D316" s="25">
        <f>11379593538/1000000</f>
        <v>11379.593537999999</v>
      </c>
      <c r="E316" s="45">
        <f t="shared" si="17"/>
        <v>2335.8790440000012</v>
      </c>
      <c r="F316" s="46">
        <v>367528</v>
      </c>
    </row>
    <row r="317" spans="1:6" s="40" customFormat="1" x14ac:dyDescent="0.2">
      <c r="A317" s="16"/>
      <c r="B317" s="24" t="s">
        <v>13</v>
      </c>
      <c r="C317" s="25">
        <f>16217946018/1000000</f>
        <v>16217.946018000001</v>
      </c>
      <c r="D317" s="25">
        <f>11466276521/1000000</f>
        <v>11466.276521</v>
      </c>
      <c r="E317" s="45">
        <f t="shared" si="17"/>
        <v>4751.6694970000008</v>
      </c>
      <c r="F317" s="46">
        <v>365556</v>
      </c>
    </row>
    <row r="318" spans="1:6" s="40" customFormat="1" x14ac:dyDescent="0.2">
      <c r="A318" s="16"/>
      <c r="B318" s="42" t="s">
        <v>14</v>
      </c>
      <c r="C318" s="25">
        <f>15937523014/1000000</f>
        <v>15937.523014</v>
      </c>
      <c r="D318" s="25">
        <f>11529133620/1000000</f>
        <v>11529.133620000001</v>
      </c>
      <c r="E318" s="47">
        <f t="shared" si="17"/>
        <v>4408.3893939999998</v>
      </c>
      <c r="F318" s="46">
        <v>365016</v>
      </c>
    </row>
    <row r="319" spans="1:6" s="40" customFormat="1" x14ac:dyDescent="0.2">
      <c r="A319" s="49" t="s">
        <v>15</v>
      </c>
      <c r="B319" s="50"/>
      <c r="C319" s="14">
        <f>SUM(C307:C318)</f>
        <v>185232.11630099997</v>
      </c>
      <c r="D319" s="14">
        <f>SUM(D307:D318)</f>
        <v>137585.83097600003</v>
      </c>
      <c r="E319" s="14">
        <f>SUM(E307:E318)</f>
        <v>47646.285325000012</v>
      </c>
      <c r="F319" s="15">
        <v>365016</v>
      </c>
    </row>
    <row r="320" spans="1:6" s="40" customFormat="1" x14ac:dyDescent="0.2">
      <c r="A320" s="34" t="s">
        <v>30</v>
      </c>
      <c r="B320" s="41" t="s">
        <v>27</v>
      </c>
      <c r="C320" s="25">
        <f>14908254032/1000000</f>
        <v>14908.254032000001</v>
      </c>
      <c r="D320" s="25">
        <f>12197816186/1000000</f>
        <v>12197.816186</v>
      </c>
      <c r="E320" s="43">
        <f t="shared" ref="E320:E331" si="18">C320-D320</f>
        <v>2710.4378460000007</v>
      </c>
      <c r="F320" s="44">
        <v>367708</v>
      </c>
    </row>
    <row r="321" spans="1:6" s="40" customFormat="1" x14ac:dyDescent="0.2">
      <c r="A321" s="16"/>
      <c r="B321" s="24" t="s">
        <v>4</v>
      </c>
      <c r="C321" s="25">
        <f>15468689520/1000000</f>
        <v>15468.68952</v>
      </c>
      <c r="D321" s="25">
        <f>10913271432/1000000</f>
        <v>10913.271432</v>
      </c>
      <c r="E321" s="45">
        <f t="shared" si="18"/>
        <v>4555.4180880000004</v>
      </c>
      <c r="F321" s="46">
        <v>368981</v>
      </c>
    </row>
    <row r="322" spans="1:6" s="40" customFormat="1" x14ac:dyDescent="0.2">
      <c r="A322" s="16"/>
      <c r="B322" s="24" t="s">
        <v>5</v>
      </c>
      <c r="C322" s="25">
        <f>20073937574/1000000</f>
        <v>20073.937574</v>
      </c>
      <c r="D322" s="25">
        <f>12937672447/1000000</f>
        <v>12937.672447000001</v>
      </c>
      <c r="E322" s="45">
        <f t="shared" si="18"/>
        <v>7136.2651269999988</v>
      </c>
      <c r="F322" s="46">
        <v>370111</v>
      </c>
    </row>
    <row r="323" spans="1:6" s="40" customFormat="1" x14ac:dyDescent="0.2">
      <c r="A323" s="16"/>
      <c r="B323" s="24" t="s">
        <v>6</v>
      </c>
      <c r="C323" s="25">
        <f>17679829041/1000000</f>
        <v>17679.829041000001</v>
      </c>
      <c r="D323" s="25">
        <f>10716655171/1000000</f>
        <v>10716.655171</v>
      </c>
      <c r="E323" s="45">
        <f t="shared" si="18"/>
        <v>6963.1738700000005</v>
      </c>
      <c r="F323" s="46">
        <v>374945</v>
      </c>
    </row>
    <row r="324" spans="1:6" s="40" customFormat="1" x14ac:dyDescent="0.2">
      <c r="A324" s="16"/>
      <c r="B324" s="24" t="s">
        <v>7</v>
      </c>
      <c r="C324" s="25">
        <f>19789994972/1000000</f>
        <v>19789.994972</v>
      </c>
      <c r="D324" s="25">
        <f>12129014411/1000000</f>
        <v>12129.014411</v>
      </c>
      <c r="E324" s="45">
        <f t="shared" si="18"/>
        <v>7660.9805610000003</v>
      </c>
      <c r="F324" s="46">
        <v>376491</v>
      </c>
    </row>
    <row r="325" spans="1:6" s="40" customFormat="1" x14ac:dyDescent="0.2">
      <c r="A325" s="16"/>
      <c r="B325" s="24" t="s">
        <v>8</v>
      </c>
      <c r="C325" s="25">
        <f>19779121415/1000000</f>
        <v>19779.121415000001</v>
      </c>
      <c r="D325" s="25">
        <f>12595233519/1000000</f>
        <v>12595.233518999999</v>
      </c>
      <c r="E325" s="45">
        <f t="shared" si="18"/>
        <v>7183.887896000002</v>
      </c>
      <c r="F325" s="46">
        <v>377175</v>
      </c>
    </row>
    <row r="326" spans="1:6" s="40" customFormat="1" x14ac:dyDescent="0.2">
      <c r="A326" s="16"/>
      <c r="B326" s="24" t="s">
        <v>9</v>
      </c>
      <c r="C326" s="25">
        <f>18758765145/1000000</f>
        <v>18758.765145000001</v>
      </c>
      <c r="D326" s="25">
        <f>12473405397/1000000</f>
        <v>12473.405397</v>
      </c>
      <c r="E326" s="45">
        <f t="shared" si="18"/>
        <v>6285.3597480000008</v>
      </c>
      <c r="F326" s="46">
        <v>381029</v>
      </c>
    </row>
    <row r="327" spans="1:6" s="40" customFormat="1" x14ac:dyDescent="0.2">
      <c r="A327" s="16"/>
      <c r="B327" s="24" t="s">
        <v>10</v>
      </c>
      <c r="C327" s="25">
        <f>19470948763/1000000</f>
        <v>19470.948763</v>
      </c>
      <c r="D327" s="25">
        <f>13879233351/1000000</f>
        <v>13879.233351000001</v>
      </c>
      <c r="E327" s="45">
        <f t="shared" si="18"/>
        <v>5591.7154119999996</v>
      </c>
      <c r="F327" s="46">
        <v>381843</v>
      </c>
    </row>
    <row r="328" spans="1:6" s="40" customFormat="1" x14ac:dyDescent="0.2">
      <c r="A328" s="16"/>
      <c r="B328" s="24" t="s">
        <v>11</v>
      </c>
      <c r="C328" s="25">
        <f>18659335519/1000000</f>
        <v>18659.335519</v>
      </c>
      <c r="D328" s="25">
        <f>13488327247/1000000</f>
        <v>13488.327246999999</v>
      </c>
      <c r="E328" s="45">
        <f t="shared" si="18"/>
        <v>5171.0082720000009</v>
      </c>
      <c r="F328" s="46">
        <v>381244</v>
      </c>
    </row>
    <row r="329" spans="1:6" s="40" customFormat="1" x14ac:dyDescent="0.2">
      <c r="A329" s="16"/>
      <c r="B329" s="24" t="s">
        <v>12</v>
      </c>
      <c r="C329" s="25">
        <f>18871946607/1000000</f>
        <v>18871.946607000002</v>
      </c>
      <c r="D329" s="25">
        <f>13678843512/1000000</f>
        <v>13678.843511999999</v>
      </c>
      <c r="E329" s="45">
        <f t="shared" si="18"/>
        <v>5193.1030950000022</v>
      </c>
      <c r="F329" s="46">
        <v>380351</v>
      </c>
    </row>
    <row r="330" spans="1:6" s="40" customFormat="1" x14ac:dyDescent="0.2">
      <c r="A330" s="16"/>
      <c r="B330" s="24" t="s">
        <v>13</v>
      </c>
      <c r="C330" s="25">
        <f>16683107767/1000000</f>
        <v>16683.107767000001</v>
      </c>
      <c r="D330" s="25">
        <f>13142506475/1000000</f>
        <v>13142.506475</v>
      </c>
      <c r="E330" s="45">
        <f t="shared" si="18"/>
        <v>3540.6012920000012</v>
      </c>
      <c r="F330" s="46">
        <v>381056</v>
      </c>
    </row>
    <row r="331" spans="1:6" s="40" customFormat="1" x14ac:dyDescent="0.2">
      <c r="A331" s="16"/>
      <c r="B331" s="42" t="s">
        <v>14</v>
      </c>
      <c r="C331" s="25">
        <f>17595288111/1000000</f>
        <v>17595.288111000002</v>
      </c>
      <c r="D331" s="25">
        <f>12597515273/1000000</f>
        <v>12597.515273000001</v>
      </c>
      <c r="E331" s="47">
        <f t="shared" si="18"/>
        <v>4997.7728380000008</v>
      </c>
      <c r="F331" s="46">
        <v>373972</v>
      </c>
    </row>
    <row r="332" spans="1:6" s="40" customFormat="1" x14ac:dyDescent="0.2">
      <c r="A332" s="49" t="s">
        <v>15</v>
      </c>
      <c r="B332" s="50"/>
      <c r="C332" s="14">
        <f>SUM(C320:C331)</f>
        <v>217739.21846600002</v>
      </c>
      <c r="D332" s="14">
        <f>SUM(D320:D331)</f>
        <v>150749.49442099998</v>
      </c>
      <c r="E332" s="14">
        <f>SUM(E320:E331)</f>
        <v>66989.724044999995</v>
      </c>
      <c r="F332" s="15">
        <v>373972</v>
      </c>
    </row>
    <row r="333" spans="1:6" s="40" customFormat="1" x14ac:dyDescent="0.2">
      <c r="A333" s="34" t="s">
        <v>32</v>
      </c>
      <c r="B333" s="41" t="s">
        <v>27</v>
      </c>
      <c r="C333" s="25">
        <f>17027282678/1000000</f>
        <v>17027.282678</v>
      </c>
      <c r="D333" s="25">
        <f>14202766580/1000000</f>
        <v>14202.76658</v>
      </c>
      <c r="E333" s="43">
        <f t="shared" ref="E333:E344" si="19">C333-D333</f>
        <v>2824.5160980000001</v>
      </c>
      <c r="F333" s="44">
        <v>375701</v>
      </c>
    </row>
    <row r="334" spans="1:6" s="40" customFormat="1" x14ac:dyDescent="0.2">
      <c r="A334" s="16"/>
      <c r="B334" s="24" t="s">
        <v>4</v>
      </c>
      <c r="C334" s="25">
        <f>17410056953/1000000</f>
        <v>17410.056952999999</v>
      </c>
      <c r="D334" s="25">
        <f>14411341031/1000000</f>
        <v>14411.341031</v>
      </c>
      <c r="E334" s="45">
        <f t="shared" si="19"/>
        <v>2998.7159219999994</v>
      </c>
      <c r="F334" s="46">
        <v>377035</v>
      </c>
    </row>
    <row r="335" spans="1:6" s="40" customFormat="1" x14ac:dyDescent="0.2">
      <c r="A335" s="16"/>
      <c r="B335" s="24" t="s">
        <v>5</v>
      </c>
      <c r="C335" s="25">
        <f>20228663253/1000000</f>
        <v>20228.663252999999</v>
      </c>
      <c r="D335" s="25">
        <f>13808687820/1000000</f>
        <v>13808.687819999999</v>
      </c>
      <c r="E335" s="45">
        <f t="shared" si="19"/>
        <v>6419.9754329999996</v>
      </c>
      <c r="F335" s="46">
        <v>379577</v>
      </c>
    </row>
    <row r="336" spans="1:6" s="40" customFormat="1" x14ac:dyDescent="0.2">
      <c r="A336" s="16"/>
      <c r="B336" s="24" t="s">
        <v>6</v>
      </c>
      <c r="C336" s="25">
        <f>19712800434/1000000</f>
        <v>19712.800434000001</v>
      </c>
      <c r="D336" s="25">
        <f>13792173075/1000000</f>
        <v>13792.173075000001</v>
      </c>
      <c r="E336" s="45">
        <f t="shared" si="19"/>
        <v>5920.6273590000001</v>
      </c>
      <c r="F336" s="46">
        <v>379979</v>
      </c>
    </row>
    <row r="337" spans="1:6" s="40" customFormat="1" x14ac:dyDescent="0.2">
      <c r="A337" s="16"/>
      <c r="B337" s="24" t="s">
        <v>7</v>
      </c>
      <c r="C337" s="25">
        <f>19325063725/1000000</f>
        <v>19325.063725</v>
      </c>
      <c r="D337" s="25">
        <f>13260789020/1000000</f>
        <v>13260.78902</v>
      </c>
      <c r="E337" s="45">
        <f t="shared" si="19"/>
        <v>6064.2747049999998</v>
      </c>
      <c r="F337" s="46">
        <v>382549</v>
      </c>
    </row>
    <row r="338" spans="1:6" s="40" customFormat="1" x14ac:dyDescent="0.2">
      <c r="A338" s="16"/>
      <c r="B338" s="24" t="s">
        <v>8</v>
      </c>
      <c r="C338" s="25">
        <f>20114054526/1000000</f>
        <v>20114.054526</v>
      </c>
      <c r="D338" s="25">
        <f>14324850972/1000000</f>
        <v>14324.850972</v>
      </c>
      <c r="E338" s="45">
        <f t="shared" si="19"/>
        <v>5789.2035539999997</v>
      </c>
      <c r="F338" s="46">
        <v>379500</v>
      </c>
    </row>
    <row r="339" spans="1:6" s="40" customFormat="1" x14ac:dyDescent="0.2">
      <c r="A339" s="16"/>
      <c r="B339" s="24" t="s">
        <v>9</v>
      </c>
      <c r="C339" s="25">
        <f>22524534227/1000000</f>
        <v>22524.534227</v>
      </c>
      <c r="D339" s="25">
        <f>18651023993/1000000</f>
        <v>18651.023992999999</v>
      </c>
      <c r="E339" s="45">
        <f t="shared" si="19"/>
        <v>3873.5102340000012</v>
      </c>
      <c r="F339" s="46">
        <v>379444</v>
      </c>
    </row>
    <row r="340" spans="1:6" s="40" customFormat="1" x14ac:dyDescent="0.2">
      <c r="A340" s="16"/>
      <c r="B340" s="24" t="s">
        <v>10</v>
      </c>
      <c r="C340" s="25">
        <f>21552692723/1000000</f>
        <v>21552.692723</v>
      </c>
      <c r="D340" s="25">
        <f>18778067740/1000000</f>
        <v>18778.067739999999</v>
      </c>
      <c r="E340" s="45">
        <f t="shared" si="19"/>
        <v>2774.6249830000015</v>
      </c>
      <c r="F340" s="46">
        <v>381393</v>
      </c>
    </row>
    <row r="341" spans="1:6" s="40" customFormat="1" x14ac:dyDescent="0.2">
      <c r="A341" s="16"/>
      <c r="B341" s="24" t="s">
        <v>11</v>
      </c>
      <c r="C341" s="25">
        <f>19187203958/1000000</f>
        <v>19187.203957999998</v>
      </c>
      <c r="D341" s="25">
        <f>14115911776/1000000</f>
        <v>14115.911776000001</v>
      </c>
      <c r="E341" s="45">
        <f t="shared" si="19"/>
        <v>5071.2921819999974</v>
      </c>
      <c r="F341" s="46">
        <v>380738</v>
      </c>
    </row>
    <row r="342" spans="1:6" s="40" customFormat="1" x14ac:dyDescent="0.2">
      <c r="A342" s="16"/>
      <c r="B342" s="24" t="s">
        <v>12</v>
      </c>
      <c r="C342" s="25">
        <f>21897544885/1000000</f>
        <v>21897.544884999999</v>
      </c>
      <c r="D342" s="25">
        <f>16105955810/1000000</f>
        <v>16105.955809999999</v>
      </c>
      <c r="E342" s="45">
        <f t="shared" si="19"/>
        <v>5791.5890749999999</v>
      </c>
      <c r="F342" s="46">
        <v>380290</v>
      </c>
    </row>
    <row r="343" spans="1:6" s="40" customFormat="1" x14ac:dyDescent="0.2">
      <c r="A343" s="16"/>
      <c r="B343" s="24" t="s">
        <v>13</v>
      </c>
      <c r="C343" s="25">
        <f>20939075942/1000000</f>
        <v>20939.075941999999</v>
      </c>
      <c r="D343" s="25">
        <f>16862252082/1000000</f>
        <v>16862.252081999999</v>
      </c>
      <c r="E343" s="45">
        <f t="shared" si="19"/>
        <v>4076.8238600000004</v>
      </c>
      <c r="F343" s="46">
        <v>379722</v>
      </c>
    </row>
    <row r="344" spans="1:6" s="40" customFormat="1" x14ac:dyDescent="0.2">
      <c r="A344" s="16"/>
      <c r="B344" s="42" t="s">
        <v>14</v>
      </c>
      <c r="C344" s="25">
        <f>19345019377/1000000</f>
        <v>19345.019377000001</v>
      </c>
      <c r="D344" s="25">
        <f>12916748963/1000000</f>
        <v>12916.748963</v>
      </c>
      <c r="E344" s="47">
        <f t="shared" si="19"/>
        <v>6428.2704140000005</v>
      </c>
      <c r="F344" s="46">
        <v>374715</v>
      </c>
    </row>
    <row r="345" spans="1:6" s="40" customFormat="1" x14ac:dyDescent="0.2">
      <c r="A345" s="49" t="s">
        <v>15</v>
      </c>
      <c r="B345" s="50"/>
      <c r="C345" s="14">
        <f>SUM(C333:C344)</f>
        <v>239263.99268099997</v>
      </c>
      <c r="D345" s="14">
        <f>SUM(D333:D344)</f>
        <v>181230.56886199996</v>
      </c>
      <c r="E345" s="14">
        <f>SUM(E333:E344)</f>
        <v>58033.423819000003</v>
      </c>
      <c r="F345" s="15">
        <v>374715</v>
      </c>
    </row>
    <row r="346" spans="1:6" s="40" customFormat="1" x14ac:dyDescent="0.2">
      <c r="A346" s="34" t="s">
        <v>33</v>
      </c>
      <c r="B346" s="41" t="s">
        <v>27</v>
      </c>
      <c r="C346" s="25">
        <f>18001907016/1000000</f>
        <v>18001.907016000001</v>
      </c>
      <c r="D346" s="25">
        <f>16387829960/1000000</f>
        <v>16387.829959999999</v>
      </c>
      <c r="E346" s="43">
        <f t="shared" ref="E346:E353" si="20">C346-D346</f>
        <v>1614.0770560000019</v>
      </c>
      <c r="F346" s="44">
        <v>376984</v>
      </c>
    </row>
    <row r="347" spans="1:6" s="40" customFormat="1" x14ac:dyDescent="0.2">
      <c r="A347" s="16"/>
      <c r="B347" s="24" t="s">
        <v>4</v>
      </c>
      <c r="C347" s="25">
        <f>15737375000/1000000</f>
        <v>15737.375</v>
      </c>
      <c r="D347" s="25">
        <f>12621762837/1000000</f>
        <v>12621.762837</v>
      </c>
      <c r="E347" s="45">
        <f t="shared" si="20"/>
        <v>3115.6121629999998</v>
      </c>
      <c r="F347" s="46">
        <v>378448</v>
      </c>
    </row>
    <row r="348" spans="1:6" s="40" customFormat="1" x14ac:dyDescent="0.2">
      <c r="A348" s="16"/>
      <c r="B348" s="24" t="s">
        <v>5</v>
      </c>
      <c r="C348" s="25">
        <f>17428698480/1000000</f>
        <v>17428.698479999999</v>
      </c>
      <c r="D348" s="25">
        <f>13132998803/1000000</f>
        <v>13132.998803</v>
      </c>
      <c r="E348" s="45">
        <f t="shared" si="20"/>
        <v>4295.6996769999987</v>
      </c>
      <c r="F348" s="46">
        <v>384165</v>
      </c>
    </row>
    <row r="349" spans="1:6" s="40" customFormat="1" x14ac:dyDescent="0.2">
      <c r="A349" s="16"/>
      <c r="B349" s="24" t="s">
        <v>6</v>
      </c>
      <c r="C349" s="25">
        <f>19281734438/1000000</f>
        <v>19281.734437999999</v>
      </c>
      <c r="D349" s="25">
        <f>13628618723/1000000</f>
        <v>13628.618723</v>
      </c>
      <c r="E349" s="45">
        <f>C349-D349</f>
        <v>5653.1157149999999</v>
      </c>
      <c r="F349" s="46">
        <v>383799</v>
      </c>
    </row>
    <row r="350" spans="1:6" s="40" customFormat="1" x14ac:dyDescent="0.2">
      <c r="A350" s="16"/>
      <c r="B350" s="24" t="s">
        <v>7</v>
      </c>
      <c r="C350" s="25">
        <f>20592409187/1000000</f>
        <v>20592.409187000001</v>
      </c>
      <c r="D350" s="25">
        <f>14968051867/1000000</f>
        <v>14968.051867</v>
      </c>
      <c r="E350" s="45">
        <f>C350-D350</f>
        <v>5624.357320000001</v>
      </c>
      <c r="F350" s="46">
        <v>386162</v>
      </c>
    </row>
    <row r="351" spans="1:6" s="40" customFormat="1" x14ac:dyDescent="0.2">
      <c r="A351" s="16"/>
      <c r="B351" s="24" t="s">
        <v>8</v>
      </c>
      <c r="C351" s="25">
        <f>18406010533/1000000</f>
        <v>18406.010533000001</v>
      </c>
      <c r="D351" s="25">
        <f>13028629358/1000000</f>
        <v>13028.629358</v>
      </c>
      <c r="E351" s="45">
        <f>C351-D351</f>
        <v>5377.3811750000004</v>
      </c>
      <c r="F351" s="46">
        <v>388092</v>
      </c>
    </row>
    <row r="352" spans="1:6" s="40" customFormat="1" x14ac:dyDescent="0.2">
      <c r="A352" s="16"/>
      <c r="B352" s="24" t="s">
        <v>9</v>
      </c>
      <c r="C352" s="25">
        <f>20150883169/1000000</f>
        <v>20150.883169000001</v>
      </c>
      <c r="D352" s="25">
        <f>17759476963/1000000</f>
        <v>17759.476963000001</v>
      </c>
      <c r="E352" s="45">
        <f>C352-D352</f>
        <v>2391.4062059999997</v>
      </c>
      <c r="F352" s="46">
        <v>385730</v>
      </c>
    </row>
    <row r="353" spans="1:6" s="40" customFormat="1" x14ac:dyDescent="0.2">
      <c r="A353" s="16"/>
      <c r="B353" s="24" t="s">
        <v>10</v>
      </c>
      <c r="C353" s="25">
        <f>19669525248/1000000</f>
        <v>19669.525248000002</v>
      </c>
      <c r="D353" s="25">
        <f>15569921736/1000000</f>
        <v>15569.921736</v>
      </c>
      <c r="E353" s="45">
        <f>C353-D353</f>
        <v>4099.6035120000015</v>
      </c>
      <c r="F353" s="46">
        <v>386478</v>
      </c>
    </row>
    <row r="354" spans="1:6" s="40" customFormat="1" x14ac:dyDescent="0.2">
      <c r="A354" s="16"/>
      <c r="B354" s="24" t="s">
        <v>11</v>
      </c>
      <c r="C354" s="25">
        <f>20298407777/1000000</f>
        <v>20298.407777</v>
      </c>
      <c r="D354" s="25">
        <f>16495171374/1000000</f>
        <v>16495.171374000001</v>
      </c>
      <c r="E354" s="45">
        <f>C354-D354</f>
        <v>3803.236402999999</v>
      </c>
      <c r="F354" s="46">
        <v>376434</v>
      </c>
    </row>
    <row r="355" spans="1:6" s="40" customFormat="1" x14ac:dyDescent="0.2">
      <c r="A355" s="16"/>
      <c r="B355" s="24" t="s">
        <v>12</v>
      </c>
      <c r="C355" s="25">
        <f>19576839231/1000000</f>
        <v>19576.839231000002</v>
      </c>
      <c r="D355" s="25">
        <f>17027283951/1000000</f>
        <v>17027.283951000001</v>
      </c>
      <c r="E355" s="45">
        <f>C355-D355</f>
        <v>2549.5552800000005</v>
      </c>
      <c r="F355" s="46">
        <v>369836</v>
      </c>
    </row>
    <row r="356" spans="1:6" s="40" customFormat="1" x14ac:dyDescent="0.2">
      <c r="A356" s="16"/>
      <c r="B356" s="24" t="s">
        <v>13</v>
      </c>
      <c r="C356" s="25">
        <f>17736715198/1000000</f>
        <v>17736.715198000002</v>
      </c>
      <c r="D356" s="25">
        <f>14172102789/1000000</f>
        <v>14172.102789</v>
      </c>
      <c r="E356" s="45">
        <f>C356-D356</f>
        <v>3564.6124090000012</v>
      </c>
      <c r="F356" s="46">
        <v>366376</v>
      </c>
    </row>
    <row r="357" spans="1:6" s="40" customFormat="1" x14ac:dyDescent="0.2">
      <c r="A357" s="16"/>
      <c r="B357" s="42" t="s">
        <v>14</v>
      </c>
      <c r="C357" s="25">
        <f>18502977191/1000000</f>
        <v>18502.977191000002</v>
      </c>
      <c r="D357" s="25">
        <f>12556086388/1000000</f>
        <v>12556.086388</v>
      </c>
      <c r="E357" s="47">
        <f>C357-D357</f>
        <v>5946.8908030000021</v>
      </c>
      <c r="F357" s="46">
        <v>356884</v>
      </c>
    </row>
    <row r="358" spans="1:6" s="40" customFormat="1" x14ac:dyDescent="0.2">
      <c r="A358" s="49" t="s">
        <v>15</v>
      </c>
      <c r="B358" s="50"/>
      <c r="C358" s="14">
        <f>SUM(C346:C357)</f>
        <v>225383.482468</v>
      </c>
      <c r="D358" s="14">
        <f>SUM(D346:D357)</f>
        <v>177347.93474900001</v>
      </c>
      <c r="E358" s="14">
        <f>SUM(E346:E357)</f>
        <v>48035.547719000002</v>
      </c>
      <c r="F358" s="15">
        <v>356884</v>
      </c>
    </row>
    <row r="359" spans="1:6" s="40" customFormat="1" x14ac:dyDescent="0.2">
      <c r="A359" s="34" t="s">
        <v>34</v>
      </c>
      <c r="B359" s="41" t="s">
        <v>27</v>
      </c>
      <c r="C359" s="25">
        <f>14494605904/1000000</f>
        <v>14494.605904</v>
      </c>
      <c r="D359" s="25">
        <f>16178215727/1000000</f>
        <v>16178.215727000001</v>
      </c>
      <c r="E359" s="43">
        <f>C359-D359</f>
        <v>-1683.6098230000007</v>
      </c>
      <c r="F359" s="44">
        <v>359394</v>
      </c>
    </row>
    <row r="360" spans="1:6" s="40" customFormat="1" x14ac:dyDescent="0.2">
      <c r="A360" s="16"/>
      <c r="B360" s="24" t="s">
        <v>4</v>
      </c>
      <c r="C360" s="25">
        <f>15582409248/1000000</f>
        <v>15582.409248</v>
      </c>
      <c r="D360" s="25">
        <f>13257157598/1000000</f>
        <v>13257.157598</v>
      </c>
      <c r="E360" s="45">
        <f>C360-D360</f>
        <v>2325.2516500000002</v>
      </c>
      <c r="F360" s="46">
        <v>362460</v>
      </c>
    </row>
    <row r="361" spans="1:6" s="40" customFormat="1" x14ac:dyDescent="0.2">
      <c r="A361" s="16"/>
      <c r="B361" s="24" t="s">
        <v>5</v>
      </c>
      <c r="C361" s="25">
        <f>18348211019/1000000</f>
        <v>18348.211018999998</v>
      </c>
      <c r="D361" s="25">
        <f>14515572034/1000000</f>
        <v>14515.572034000001</v>
      </c>
      <c r="E361" s="45">
        <f>C361-D361</f>
        <v>3832.6389849999978</v>
      </c>
      <c r="F361" s="46">
        <v>343165</v>
      </c>
    </row>
    <row r="362" spans="1:6" s="40" customFormat="1" x14ac:dyDescent="0.2">
      <c r="A362" s="16"/>
      <c r="B362" s="24" t="s">
        <v>6</v>
      </c>
      <c r="C362" s="25">
        <f>17610426475/1000000</f>
        <v>17610.426475</v>
      </c>
      <c r="D362" s="25">
        <f>11610976700/1000000</f>
        <v>11610.976699999999</v>
      </c>
      <c r="E362" s="45">
        <f>C362-D362</f>
        <v>5999.449775000001</v>
      </c>
      <c r="F362" s="46">
        <v>339317</v>
      </c>
    </row>
    <row r="363" spans="1:6" s="40" customFormat="1" x14ac:dyDescent="0.2">
      <c r="A363" s="16"/>
      <c r="B363" s="24" t="s">
        <v>7</v>
      </c>
      <c r="C363" s="25">
        <f>17543679577/1000000</f>
        <v>17543.679576999999</v>
      </c>
      <c r="D363" s="25">
        <f>13391105461/1000000</f>
        <v>13391.105460999999</v>
      </c>
      <c r="E363" s="45">
        <f>C363-D363</f>
        <v>4152.5741159999998</v>
      </c>
      <c r="F363" s="46">
        <v>345706</v>
      </c>
    </row>
    <row r="364" spans="1:6" s="40" customFormat="1" x14ac:dyDescent="0.2">
      <c r="A364" s="16"/>
      <c r="B364" s="24" t="s">
        <v>8</v>
      </c>
      <c r="C364" s="25">
        <f>17516077876/1000000</f>
        <v>17516.077875999999</v>
      </c>
      <c r="D364" s="25">
        <f>10448775569/1000000</f>
        <v>10448.775568999999</v>
      </c>
      <c r="E364" s="45">
        <f>C364-D364</f>
        <v>7067.3023069999999</v>
      </c>
      <c r="F364" s="46">
        <v>348781</v>
      </c>
    </row>
    <row r="365" spans="1:6" s="40" customFormat="1" x14ac:dyDescent="0.2">
      <c r="A365" s="16"/>
      <c r="B365" s="24" t="s">
        <v>9</v>
      </c>
      <c r="C365" s="25">
        <f>19461713439/1000000</f>
        <v>19461.713438999999</v>
      </c>
      <c r="D365" s="25">
        <f>11506595834/1000000</f>
        <v>11506.595834</v>
      </c>
      <c r="E365" s="45">
        <f>C365-D365</f>
        <v>7955.1176049999995</v>
      </c>
      <c r="F365" s="46">
        <v>354664</v>
      </c>
    </row>
    <row r="366" spans="1:6" s="40" customFormat="1" x14ac:dyDescent="0.2">
      <c r="A366" s="16"/>
      <c r="B366" s="24" t="s">
        <v>10</v>
      </c>
      <c r="C366" s="25">
        <f>17480305089/1000000</f>
        <v>17480.305089000001</v>
      </c>
      <c r="D366" s="25">
        <f>11132634020/1000000</f>
        <v>11132.63402</v>
      </c>
      <c r="E366" s="45">
        <f>C366-D366</f>
        <v>6347.6710690000018</v>
      </c>
      <c r="F366" s="46">
        <v>356092</v>
      </c>
    </row>
    <row r="367" spans="1:6" s="40" customFormat="1" x14ac:dyDescent="0.2">
      <c r="A367" s="16"/>
      <c r="B367" s="24" t="s">
        <v>11</v>
      </c>
      <c r="C367" s="25">
        <f>18242179212/1000000</f>
        <v>18242.179211999999</v>
      </c>
      <c r="D367" s="25">
        <f>12296962814/1000000</f>
        <v>12296.962814</v>
      </c>
      <c r="E367" s="45">
        <f>C367-D367</f>
        <v>5945.2163979999987</v>
      </c>
      <c r="F367" s="46">
        <v>356606</v>
      </c>
    </row>
    <row r="368" spans="1:6" s="40" customFormat="1" x14ac:dyDescent="0.2">
      <c r="A368" s="16"/>
      <c r="B368" s="24" t="s">
        <v>12</v>
      </c>
      <c r="C368" s="25">
        <f>17749410384/1000000</f>
        <v>17749.410383999999</v>
      </c>
      <c r="D368" s="25">
        <f>12382544829/1000000</f>
        <v>12382.544829</v>
      </c>
      <c r="E368" s="45">
        <f>C368-D368</f>
        <v>5366.8655549999985</v>
      </c>
      <c r="F368" s="46">
        <v>354546</v>
      </c>
    </row>
    <row r="369" spans="1:6" s="40" customFormat="1" x14ac:dyDescent="0.2">
      <c r="A369" s="16"/>
      <c r="B369" s="24" t="s">
        <v>13</v>
      </c>
      <c r="C369" s="25">
        <f>17526605514/1000000</f>
        <v>17526.605513999999</v>
      </c>
      <c r="D369" s="25">
        <f>13798863315/1000000</f>
        <v>13798.863315000001</v>
      </c>
      <c r="E369" s="45">
        <f>C369-D369</f>
        <v>3727.7421989999984</v>
      </c>
      <c r="F369" s="46" t="s">
        <v>20</v>
      </c>
    </row>
    <row r="370" spans="1:6" s="40" customFormat="1" hidden="1" x14ac:dyDescent="0.2">
      <c r="A370" s="16"/>
      <c r="B370" s="42" t="s">
        <v>14</v>
      </c>
      <c r="C370" s="25"/>
      <c r="D370" s="25"/>
      <c r="E370" s="47">
        <f t="shared" ref="E360:E370" si="21">C370-D370</f>
        <v>0</v>
      </c>
      <c r="F370" s="46"/>
    </row>
    <row r="371" spans="1:6" s="40" customFormat="1" x14ac:dyDescent="0.2">
      <c r="A371" s="49" t="s">
        <v>15</v>
      </c>
      <c r="B371" s="50"/>
      <c r="C371" s="14">
        <f>SUM(C359:C370)</f>
        <v>191555.62373699999</v>
      </c>
      <c r="D371" s="14">
        <f>SUM(D359:D370)</f>
        <v>140519.40390100001</v>
      </c>
      <c r="E371" s="14">
        <f>SUM(E359:E370)</f>
        <v>51036.219835999997</v>
      </c>
      <c r="F371" s="15">
        <v>354546</v>
      </c>
    </row>
    <row r="372" spans="1:6" s="1" customFormat="1" x14ac:dyDescent="0.2">
      <c r="A372" s="8" t="s">
        <v>35</v>
      </c>
      <c r="B372" s="9"/>
      <c r="C372" s="10"/>
      <c r="D372" s="10"/>
      <c r="E372" s="11"/>
      <c r="F372" s="12"/>
    </row>
    <row r="373" spans="1:6" s="1" customFormat="1" x14ac:dyDescent="0.2">
      <c r="A373" s="5" t="s">
        <v>25</v>
      </c>
      <c r="B373" s="4"/>
      <c r="C373" s="7"/>
      <c r="D373" s="7"/>
      <c r="E373" s="3"/>
    </row>
    <row r="374" spans="1:6" s="1" customFormat="1" ht="12" x14ac:dyDescent="0.2">
      <c r="A374" s="6" t="s">
        <v>26</v>
      </c>
      <c r="B374" s="4"/>
      <c r="C374" s="7"/>
      <c r="D374" s="7"/>
      <c r="E374" s="3"/>
    </row>
    <row r="375" spans="1:6" s="1" customFormat="1" x14ac:dyDescent="0.2">
      <c r="A375" s="6" t="s">
        <v>31</v>
      </c>
      <c r="B375" s="4"/>
      <c r="C375" s="7"/>
      <c r="D375" s="7"/>
      <c r="E375" s="3"/>
    </row>
    <row r="376" spans="1:6" s="1" customFormat="1" x14ac:dyDescent="0.2">
      <c r="B376" s="4"/>
      <c r="C376" s="7"/>
      <c r="D376" s="7"/>
      <c r="E376" s="3"/>
    </row>
    <row r="377" spans="1:6" s="1" customFormat="1" x14ac:dyDescent="0.2">
      <c r="B377" s="4"/>
      <c r="C377" s="7"/>
      <c r="D377" s="7"/>
      <c r="E377" s="3"/>
    </row>
    <row r="378" spans="1:6" s="1" customFormat="1" x14ac:dyDescent="0.2">
      <c r="B378" s="4"/>
      <c r="C378" s="2"/>
      <c r="D378" s="7"/>
      <c r="E378" s="3"/>
    </row>
    <row r="379" spans="1:6" s="1" customFormat="1" x14ac:dyDescent="0.2">
      <c r="B379" s="4"/>
      <c r="C379" s="7"/>
      <c r="D379" s="7"/>
      <c r="E379" s="3"/>
    </row>
    <row r="380" spans="1:6" s="1" customFormat="1" x14ac:dyDescent="0.2">
      <c r="B380" s="4"/>
      <c r="C380" s="7"/>
      <c r="D380" s="7"/>
      <c r="E380" s="3"/>
    </row>
    <row r="381" spans="1:6" x14ac:dyDescent="0.2">
      <c r="A381" s="1"/>
      <c r="B381" s="4"/>
      <c r="C381" s="7"/>
      <c r="D381" s="7"/>
      <c r="E381" s="3"/>
      <c r="F381" s="1"/>
    </row>
    <row r="382" spans="1:6" x14ac:dyDescent="0.2">
      <c r="A382" s="1"/>
      <c r="B382" s="4"/>
      <c r="C382" s="7"/>
      <c r="D382" s="7"/>
      <c r="E382" s="3"/>
      <c r="F382" s="1"/>
    </row>
    <row r="383" spans="1:6" x14ac:dyDescent="0.2">
      <c r="A383" s="1"/>
      <c r="B383" s="4"/>
      <c r="C383" s="7"/>
      <c r="D383" s="7"/>
      <c r="E383" s="3"/>
      <c r="F383" s="1"/>
    </row>
    <row r="384" spans="1:6" x14ac:dyDescent="0.2">
      <c r="A384" s="1"/>
      <c r="B384" s="4"/>
      <c r="C384" s="7"/>
      <c r="D384" s="7"/>
      <c r="E384" s="3"/>
      <c r="F384" s="1"/>
    </row>
    <row r="385" spans="1:6" x14ac:dyDescent="0.2">
      <c r="A385" s="1"/>
      <c r="B385" s="4"/>
      <c r="C385" s="7"/>
      <c r="D385" s="7"/>
      <c r="E385" s="3"/>
      <c r="F385" s="1"/>
    </row>
    <row r="386" spans="1:6" x14ac:dyDescent="0.2">
      <c r="A386" s="1"/>
      <c r="B386" s="4"/>
      <c r="C386" s="7"/>
      <c r="D386" s="7"/>
      <c r="E386" s="3"/>
      <c r="F386" s="1"/>
    </row>
    <row r="387" spans="1:6" x14ac:dyDescent="0.2">
      <c r="A387" s="1"/>
      <c r="B387" s="4"/>
      <c r="C387" s="7"/>
      <c r="D387" s="7"/>
      <c r="E387" s="3"/>
      <c r="F387" s="1"/>
    </row>
    <row r="388" spans="1:6" x14ac:dyDescent="0.2">
      <c r="A388" s="1"/>
      <c r="B388" s="4"/>
      <c r="C388" s="7"/>
      <c r="D388" s="7"/>
      <c r="E388" s="3"/>
      <c r="F388" s="1"/>
    </row>
    <row r="389" spans="1:6" x14ac:dyDescent="0.2">
      <c r="A389" s="1"/>
      <c r="B389" s="4"/>
      <c r="C389" s="7"/>
      <c r="D389" s="7"/>
      <c r="E389" s="3"/>
      <c r="F389" s="1"/>
    </row>
    <row r="390" spans="1:6" x14ac:dyDescent="0.2">
      <c r="A390" s="1"/>
      <c r="B390" s="4"/>
      <c r="C390" s="7"/>
      <c r="D390" s="7"/>
      <c r="E390" s="3"/>
      <c r="F390" s="1"/>
    </row>
    <row r="391" spans="1:6" x14ac:dyDescent="0.2">
      <c r="A391" s="1"/>
      <c r="B391" s="4"/>
      <c r="C391" s="7"/>
      <c r="D391" s="7"/>
      <c r="E391" s="3"/>
      <c r="F391" s="1"/>
    </row>
    <row r="392" spans="1:6" x14ac:dyDescent="0.2">
      <c r="A392" s="1"/>
      <c r="B392" s="4"/>
      <c r="C392" s="7"/>
      <c r="D392" s="7"/>
      <c r="E392" s="3"/>
      <c r="F392" s="1"/>
    </row>
    <row r="393" spans="1:6" x14ac:dyDescent="0.2">
      <c r="A393" s="1"/>
      <c r="B393" s="4"/>
      <c r="C393" s="7"/>
      <c r="D393" s="7"/>
      <c r="E393" s="3"/>
      <c r="F393" s="1"/>
    </row>
  </sheetData>
  <mergeCells count="35">
    <mergeCell ref="A6:B6"/>
    <mergeCell ref="A163:B163"/>
    <mergeCell ref="A85:B85"/>
    <mergeCell ref="A98:B98"/>
    <mergeCell ref="A7:B7"/>
    <mergeCell ref="A20:B20"/>
    <mergeCell ref="A59:B59"/>
    <mergeCell ref="A33:B33"/>
    <mergeCell ref="A46:B46"/>
    <mergeCell ref="A137:B137"/>
    <mergeCell ref="A150:B150"/>
    <mergeCell ref="A72:B72"/>
    <mergeCell ref="A1:F1"/>
    <mergeCell ref="A2:F2"/>
    <mergeCell ref="A5:B5"/>
    <mergeCell ref="A3:B4"/>
    <mergeCell ref="C3:E3"/>
    <mergeCell ref="A306:B306"/>
    <mergeCell ref="A293:B293"/>
    <mergeCell ref="A280:B280"/>
    <mergeCell ref="A111:B111"/>
    <mergeCell ref="A124:B124"/>
    <mergeCell ref="A267:B267"/>
    <mergeCell ref="A254:B254"/>
    <mergeCell ref="A241:B241"/>
    <mergeCell ref="A228:B228"/>
    <mergeCell ref="A202:B202"/>
    <mergeCell ref="A215:B215"/>
    <mergeCell ref="A176:B176"/>
    <mergeCell ref="A189:B189"/>
    <mergeCell ref="A371:B371"/>
    <mergeCell ref="A358:B358"/>
    <mergeCell ref="A345:B345"/>
    <mergeCell ref="A332:B332"/>
    <mergeCell ref="A319:B319"/>
  </mergeCells>
  <phoneticPr fontId="0" type="noConversion"/>
  <printOptions horizontalCentered="1" gridLinesSet="0"/>
  <pageMargins left="0" right="0" top="0.39370078740157483" bottom="0.19685039370078741" header="0" footer="0"/>
  <pageSetup paperSize="9" fitToHeight="4" orientation="portrait" r:id="rId1"/>
  <headerFooter alignWithMargins="0">
    <oddFooter>&amp;C&amp;8&amp;P de &amp;N&amp;R&amp;8&amp;A</oddFooter>
  </headerFooter>
  <ignoredErrors>
    <ignoredError sqref="E111:E254 E255:E267 E301 E299 E280:E293 E294:E298 E300 E302:E306 E307:E345 E358" formula="1"/>
    <ignoredError sqref="D1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tabela_09.C.01</vt:lpstr>
      <vt:lpstr>tabela_09.C.01!Area_de_impressao</vt:lpstr>
      <vt:lpstr>tabela_09.C.01!Titulos_de_impressao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2018-11-05T12:51:55Z</cp:lastPrinted>
  <dcterms:created xsi:type="dcterms:W3CDTF">1998-05-19T18:04:06Z</dcterms:created>
  <dcterms:modified xsi:type="dcterms:W3CDTF">2020-12-04T15:00:05Z</dcterms:modified>
</cp:coreProperties>
</file>